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nny Colon\Desktop\CONTABILIDAD\AÑO 2024\MARZO 2024\ESTADOS DEFINITIVOS\envio transparencia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7" i="1" l="1"/>
  <c r="E183" i="1"/>
  <c r="E182" i="1"/>
  <c r="E181" i="1" s="1"/>
  <c r="E179" i="1"/>
  <c r="E178" i="1"/>
  <c r="E175" i="1"/>
  <c r="E174" i="1" s="1"/>
  <c r="E172" i="1"/>
  <c r="E171" i="1"/>
  <c r="E170" i="1"/>
  <c r="E169" i="1"/>
  <c r="E168" i="1" s="1"/>
  <c r="E167" i="1" s="1"/>
  <c r="E165" i="1"/>
  <c r="E162" i="1" s="1"/>
  <c r="E164" i="1"/>
  <c r="E163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5" i="1"/>
  <c r="E144" i="1"/>
  <c r="E143" i="1"/>
  <c r="E142" i="1"/>
  <c r="E141" i="1"/>
  <c r="E140" i="1" s="1"/>
  <c r="E139" i="1" s="1"/>
  <c r="E137" i="1"/>
  <c r="E136" i="1"/>
  <c r="E133" i="1" s="1"/>
  <c r="E135" i="1"/>
  <c r="E134" i="1"/>
  <c r="E132" i="1"/>
  <c r="E131" i="1"/>
  <c r="E130" i="1" s="1"/>
  <c r="E129" i="1"/>
  <c r="E128" i="1"/>
  <c r="E127" i="1" s="1"/>
  <c r="E126" i="1"/>
  <c r="E125" i="1"/>
  <c r="E124" i="1"/>
  <c r="E123" i="1"/>
  <c r="E122" i="1" s="1"/>
  <c r="E121" i="1"/>
  <c r="E120" i="1"/>
  <c r="E119" i="1" s="1"/>
  <c r="E118" i="1"/>
  <c r="E117" i="1"/>
  <c r="E116" i="1"/>
  <c r="E113" i="1"/>
  <c r="E112" i="1"/>
  <c r="E111" i="1"/>
  <c r="E108" i="1" s="1"/>
  <c r="E110" i="1"/>
  <c r="E109" i="1"/>
  <c r="E107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 s="1"/>
  <c r="E84" i="1"/>
  <c r="E83" i="1"/>
  <c r="E82" i="1" s="1"/>
  <c r="E81" i="1"/>
  <c r="E80" i="1"/>
  <c r="E79" i="1"/>
  <c r="E78" i="1" s="1"/>
  <c r="E77" i="1"/>
  <c r="E76" i="1"/>
  <c r="E75" i="1"/>
  <c r="E74" i="1"/>
  <c r="E73" i="1"/>
  <c r="E72" i="1"/>
  <c r="E71" i="1"/>
  <c r="E70" i="1"/>
  <c r="E68" i="1" s="1"/>
  <c r="E69" i="1"/>
  <c r="E67" i="1"/>
  <c r="E66" i="1" s="1"/>
  <c r="E65" i="1"/>
  <c r="E64" i="1"/>
  <c r="E63" i="1"/>
  <c r="E62" i="1"/>
  <c r="E60" i="1" s="1"/>
  <c r="E61" i="1"/>
  <c r="E48" i="1"/>
  <c r="E47" i="1"/>
  <c r="E46" i="1"/>
  <c r="E45" i="1"/>
  <c r="E43" i="1"/>
  <c r="E41" i="1"/>
  <c r="E40" i="1"/>
  <c r="E39" i="1"/>
  <c r="E38" i="1" s="1"/>
  <c r="E36" i="1" s="1"/>
  <c r="E37" i="1"/>
  <c r="E35" i="1"/>
  <c r="E34" i="1"/>
  <c r="E33" i="1"/>
  <c r="E32" i="1"/>
  <c r="E31" i="1"/>
  <c r="E30" i="1" s="1"/>
  <c r="E27" i="1" s="1"/>
  <c r="E29" i="1"/>
  <c r="E28" i="1"/>
  <c r="E22" i="1"/>
  <c r="E21" i="1" s="1"/>
  <c r="F20" i="1" s="1"/>
  <c r="E19" i="1"/>
  <c r="E18" i="1"/>
  <c r="F17" i="1" s="1"/>
  <c r="E16" i="1"/>
  <c r="E15" i="1"/>
  <c r="E14" i="1"/>
  <c r="E13" i="1" s="1"/>
  <c r="F12" i="1" s="1"/>
  <c r="E106" i="1" l="1"/>
  <c r="E59" i="1"/>
  <c r="F11" i="1"/>
  <c r="F10" i="1" s="1"/>
  <c r="E26" i="1"/>
  <c r="E115" i="1"/>
  <c r="E25" i="1" l="1"/>
  <c r="F24" i="1" s="1"/>
  <c r="F185" i="1"/>
</calcChain>
</file>

<file path=xl/comments1.xml><?xml version="1.0" encoding="utf-8"?>
<comments xmlns="http://schemas.openxmlformats.org/spreadsheetml/2006/main">
  <authors>
    <author>Suanny Colon</author>
  </authors>
  <commentList>
    <comment ref="E17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</commentList>
</comments>
</file>

<file path=xl/sharedStrings.xml><?xml version="1.0" encoding="utf-8"?>
<sst xmlns="http://schemas.openxmlformats.org/spreadsheetml/2006/main" count="290" uniqueCount="288">
  <si>
    <t xml:space="preserve">Instituto De Desarrollo y Credito Cooperativo (IDECOOP)  </t>
  </si>
  <si>
    <t>Estado de Resultados Acumulado</t>
  </si>
  <si>
    <t>Al 31 de Marzo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</si>
  <si>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</si>
  <si>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</si>
  <si>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</si>
  <si>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</si>
  <si>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</si>
  <si>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</si>
  <si>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</si>
  <si>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</si>
  <si>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</si>
  <si>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</si>
  <si>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</si>
  <si>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</si>
  <si>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</si>
  <si>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</si>
  <si>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</si>
  <si>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</si>
  <si>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</si>
  <si>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</si>
  <si>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</si>
  <si>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</si>
  <si>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</si>
  <si>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</si>
  <si>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</si>
  <si>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</si>
  <si>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</si>
  <si>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</si>
  <si>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</si>
  <si>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</si>
  <si>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</si>
  <si>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</si>
  <si>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</si>
  <si>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</si>
  <si>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</si>
  <si>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</si>
  <si>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</si>
  <si>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</si>
  <si>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</si>
  <si>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</si>
  <si>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</si>
  <si>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</si>
  <si>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</si>
  <si>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</si>
  <si>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</si>
  <si>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</si>
  <si>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</si>
  <si>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</si>
  <si>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</si>
  <si>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</si>
  <si>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</si>
  <si>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</si>
  <si>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</si>
  <si>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</si>
  <si>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</si>
  <si>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</si>
  <si>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</si>
  <si>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</si>
  <si>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</si>
  <si>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</si>
  <si>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</si>
  <si>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</si>
  <si>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</si>
  <si>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</si>
  <si>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</si>
  <si>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</si>
  <si>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</si>
  <si>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</si>
  <si>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</si>
  <si>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</si>
  <si>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</si>
  <si>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</si>
  <si>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</si>
  <si>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</si>
  <si>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</si>
  <si>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</si>
  <si>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</si>
  <si>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</si>
  <si>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</si>
  <si>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</si>
  <si>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</si>
  <si>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</si>
  <si>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</si>
  <si>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</si>
  <si>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</si>
  <si>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</si>
  <si>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</si>
  <si>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</si>
  <si>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</si>
  <si>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</si>
  <si>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</si>
  <si>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</si>
  <si>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</si>
  <si>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</si>
  <si>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</si>
  <si>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</si>
  <si>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</si>
  <si>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</si>
  <si>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</si>
  <si>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</si>
  <si>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</si>
  <si>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</si>
  <si>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</si>
  <si>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</si>
  <si>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</si>
  <si>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</si>
  <si>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</si>
  <si>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</si>
  <si>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</si>
  <si>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</si>
  <si>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</si>
  <si>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</si>
  <si>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</si>
  <si>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</si>
  <si>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</si>
  <si>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</si>
  <si>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</si>
  <si>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</si>
  <si>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</si>
  <si>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</si>
  <si>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</si>
  <si>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</si>
  <si>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</si>
  <si>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</si>
  <si>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</si>
  <si>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</si>
  <si>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</si>
  <si>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</si>
  <si>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</si>
  <si>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</si>
  <si>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</si>
  <si>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</si>
  <si>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</si>
  <si>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</si>
  <si>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</si>
  <si>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</si>
  <si>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</si>
  <si>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</si>
  <si>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</si>
  <si>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</si>
  <si>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</si>
  <si>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</si>
  <si>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</si>
  <si>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</si>
  <si>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</si>
  <si>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</si>
  <si>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</si>
  <si>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</si>
  <si>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</si>
  <si>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</si>
  <si>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</si>
  <si>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</si>
  <si>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</si>
  <si>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</si>
  <si>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</si>
  <si>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</si>
  <si>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</si>
  <si>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</si>
  <si>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</si>
  <si>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</si>
  <si>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</si>
  <si>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</si>
  <si>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</si>
  <si>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</si>
  <si>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</si>
  <si>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</si>
  <si>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</si>
  <si>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</si>
  <si>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</si>
  <si>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</si>
  <si>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</si>
  <si>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</si>
  <si>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</si>
  <si>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</si>
  <si>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</si>
  <si>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</si>
  <si>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</si>
  <si>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</si>
  <si>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</si>
  <si>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</si>
  <si>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</si>
  <si>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</si>
  <si>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</si>
  <si>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</si>
  <si>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</si>
  <si>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</si>
  <si>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</si>
  <si>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</si>
  <si>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</si>
  <si>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</si>
  <si>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</si>
  <si>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</si>
  <si>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</si>
  <si>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</si>
  <si>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</si>
  <si>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</si>
  <si>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</si>
  <si>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</si>
  <si>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</si>
  <si>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</si>
  <si>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</si>
  <si>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</si>
  <si>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</si>
  <si>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</si>
  <si>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</si>
  <si>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</si>
  <si>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</si>
  <si>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</si>
  <si>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</si>
  <si>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</si>
  <si>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</si>
  <si>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</si>
  <si>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</si>
  <si>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</si>
  <si>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</si>
  <si>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</si>
  <si>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</si>
  <si>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</si>
  <si>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</si>
  <si>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</si>
  <si>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</si>
  <si>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</si>
  <si>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</si>
  <si>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</si>
  <si>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</si>
  <si>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</si>
  <si>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</si>
  <si>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</si>
  <si>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</si>
  <si>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</si>
  <si>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</si>
  <si>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</si>
  <si>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</si>
  <si>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</si>
  <si>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</si>
  <si>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</si>
  <si>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</si>
  <si>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</si>
  <si>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</si>
  <si>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</si>
  <si>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</si>
  <si>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</si>
  <si>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</si>
  <si>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</si>
  <si>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</si>
  <si>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</si>
  <si>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</si>
  <si>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</si>
  <si>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</si>
  <si>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</si>
  <si>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</si>
  <si>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</si>
  <si>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</si>
  <si>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</si>
  <si>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</si>
  <si>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</si>
  <si>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</si>
  <si>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</si>
  <si>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</si>
  <si>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</si>
  <si>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</si>
  <si>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</si>
  <si>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</si>
  <si>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</si>
  <si>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</si>
  <si>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</si>
  <si>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</si>
  <si>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</si>
  <si>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</si>
  <si>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</si>
  <si>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</si>
  <si>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</si>
  <si>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</si>
  <si>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</si>
  <si>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</si>
  <si>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</si>
  <si>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</si>
  <si>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</si>
  <si>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5.2.01.04.04</t>
  </si>
  <si>
    <t>Subvenciones a instituciones públicas financieras monetarias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</si>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</sst>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.##0.00\ _€_-;\-* #.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3" fontId="5" fillId="0" borderId="0" xfId="1" applyFont="1" applyBorder="1" applyAlignment="1">
      <alignment vertical="center" wrapText="1"/>
    </xf>
    <xf numFmtId="165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 applyFill="1"/>
    <xf numFmtId="0" fontId="6" fillId="0" borderId="0" xfId="0" applyFont="1" applyAlignment="1">
      <alignment horizontal="left" vertical="center"/>
    </xf>
    <xf numFmtId="43" fontId="6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43" fontId="5" fillId="0" borderId="0" xfId="1" applyFont="1" applyFill="1" applyBorder="1"/>
    <xf numFmtId="43" fontId="7" fillId="0" borderId="0" xfId="1" applyFont="1" applyFill="1" applyBorder="1"/>
    <xf numFmtId="43" fontId="7" fillId="0" borderId="0" xfId="1" applyFont="1" applyBorder="1"/>
    <xf numFmtId="43" fontId="8" fillId="0" borderId="0" xfId="1" applyFont="1" applyFill="1" applyBorder="1" applyAlignment="1">
      <alignment horizontal="center" vertical="center" wrapText="1"/>
    </xf>
    <xf numFmtId="0" fontId="7" fillId="0" borderId="0" xfId="0" applyFont="1"/>
    <xf numFmtId="43" fontId="9" fillId="0" borderId="0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6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1" fillId="0" borderId="0" xfId="1" applyFont="1" applyFill="1" applyBorder="1"/>
    <xf numFmtId="166" fontId="0" fillId="0" borderId="0" xfId="0" applyNumberFormat="1"/>
    <xf numFmtId="165" fontId="5" fillId="0" borderId="0" xfId="1" applyNumberFormat="1" applyFont="1" applyFill="1" applyBorder="1" applyAlignment="1">
      <alignment vertical="center" wrapText="1"/>
    </xf>
    <xf numFmtId="43" fontId="11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3" fontId="1" fillId="0" borderId="0" xfId="1" applyFont="1"/>
    <xf numFmtId="0" fontId="8" fillId="0" borderId="0" xfId="0" applyFont="1" applyAlignment="1">
      <alignment vertical="center"/>
    </xf>
    <xf numFmtId="165" fontId="8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7" fillId="0" borderId="0" xfId="1" applyNumberFormat="1" applyFont="1" applyBorder="1"/>
    <xf numFmtId="165" fontId="5" fillId="0" borderId="0" xfId="1" applyNumberFormat="1" applyFont="1" applyFill="1" applyBorder="1"/>
    <xf numFmtId="165" fontId="7" fillId="0" borderId="0" xfId="1" applyNumberFormat="1" applyFont="1" applyFill="1" applyBorder="1"/>
    <xf numFmtId="0" fontId="6" fillId="0" borderId="0" xfId="0" applyFont="1" applyAlignment="1">
      <alignment horizontal="left" vertical="center"/>
    </xf>
    <xf numFmtId="43" fontId="0" fillId="0" borderId="0" xfId="1" applyFont="1" applyFill="1" applyBorder="1"/>
    <xf numFmtId="165" fontId="11" fillId="0" borderId="0" xfId="1" applyNumberFormat="1" applyFont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3" fontId="1" fillId="0" borderId="0" xfId="1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43" fontId="11" fillId="0" borderId="0" xfId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left" vertical="center" wrapText="1"/>
    </xf>
    <xf numFmtId="165" fontId="7" fillId="0" borderId="0" xfId="0" applyNumberFormat="1" applyFont="1" applyFill="1"/>
    <xf numFmtId="0" fontId="7" fillId="0" borderId="0" xfId="0" applyFont="1" applyAlignment="1">
      <alignment horizontal="left"/>
    </xf>
    <xf numFmtId="43" fontId="0" fillId="0" borderId="0" xfId="1" applyFont="1"/>
    <xf numFmtId="43" fontId="6" fillId="0" borderId="0" xfId="1" applyFont="1" applyFill="1" applyBorder="1" applyAlignment="1">
      <alignment horizontal="left" vertical="center" wrapText="1"/>
    </xf>
    <xf numFmtId="43" fontId="13" fillId="0" borderId="0" xfId="1" applyFont="1"/>
    <xf numFmtId="165" fontId="5" fillId="0" borderId="0" xfId="1" applyNumberFormat="1" applyFont="1" applyFill="1"/>
    <xf numFmtId="165" fontId="13" fillId="0" borderId="0" xfId="0" applyNumberFormat="1" applyFont="1"/>
    <xf numFmtId="0" fontId="2" fillId="0" borderId="0" xfId="0" applyFont="1" applyAlignment="1">
      <alignment horizontal="left" vertical="center"/>
    </xf>
    <xf numFmtId="165" fontId="7" fillId="0" borderId="0" xfId="1" applyNumberFormat="1" applyFont="1" applyFill="1"/>
    <xf numFmtId="164" fontId="7" fillId="0" borderId="0" xfId="0" applyNumberFormat="1" applyFont="1"/>
    <xf numFmtId="165" fontId="5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421796</xdr:colOff>
      <xdr:row>1</xdr:row>
      <xdr:rowOff>116816</xdr:rowOff>
    </xdr:from>
    <xdr:ext cx="10191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96" y="307316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MARZO%202024/ESTADOS%20DEFINITIVOS/Balance%20General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febrero%202024/Balance%20General%20Febr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ENERO%202024/Balance%20General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3">
          <cell r="E13">
            <v>0</v>
          </cell>
        </row>
        <row r="16">
          <cell r="E16">
            <v>642500.75</v>
          </cell>
        </row>
        <row r="26">
          <cell r="E26">
            <v>-9238560</v>
          </cell>
        </row>
        <row r="28">
          <cell r="E28">
            <v>-6467300</v>
          </cell>
        </row>
        <row r="31">
          <cell r="E31">
            <v>-103114.2</v>
          </cell>
        </row>
        <row r="36">
          <cell r="E36">
            <v>-319024.5</v>
          </cell>
        </row>
        <row r="43">
          <cell r="E43">
            <v>-1116852.23</v>
          </cell>
        </row>
        <row r="44">
          <cell r="E44">
            <v>-1122437.19</v>
          </cell>
        </row>
        <row r="45">
          <cell r="E45">
            <v>-172755.14</v>
          </cell>
        </row>
        <row r="49">
          <cell r="E49">
            <v>-236745.60000000001</v>
          </cell>
        </row>
        <row r="50">
          <cell r="E50">
            <v>-270470.53999999998</v>
          </cell>
        </row>
        <row r="51">
          <cell r="E51">
            <v>-426100.6</v>
          </cell>
        </row>
        <row r="52">
          <cell r="E52">
            <v>-10140</v>
          </cell>
        </row>
        <row r="53">
          <cell r="E53">
            <v>-8915</v>
          </cell>
        </row>
        <row r="55">
          <cell r="E55">
            <v>-90000</v>
          </cell>
        </row>
        <row r="57">
          <cell r="E57">
            <v>-314592.5</v>
          </cell>
        </row>
        <row r="58">
          <cell r="E58">
            <v>-412494.36</v>
          </cell>
        </row>
        <row r="61">
          <cell r="E61">
            <v>-234907</v>
          </cell>
        </row>
        <row r="65">
          <cell r="E65">
            <v>-40000</v>
          </cell>
        </row>
        <row r="69">
          <cell r="E69">
            <v>-132979.79999999999</v>
          </cell>
        </row>
        <row r="72">
          <cell r="E72">
            <v>-54052.51</v>
          </cell>
        </row>
        <row r="74">
          <cell r="E74">
            <v>-11760.88</v>
          </cell>
        </row>
        <row r="79">
          <cell r="E79">
            <v>-196000</v>
          </cell>
        </row>
        <row r="82">
          <cell r="E82">
            <v>-94046</v>
          </cell>
        </row>
        <row r="93">
          <cell r="E93">
            <v>-304750</v>
          </cell>
        </row>
        <row r="97">
          <cell r="E97">
            <v>-111010</v>
          </cell>
        </row>
        <row r="103">
          <cell r="E103">
            <v>834148.8</v>
          </cell>
        </row>
        <row r="104">
          <cell r="E104">
            <v>1522969.87</v>
          </cell>
        </row>
        <row r="106">
          <cell r="E106">
            <v>-3985.52</v>
          </cell>
        </row>
        <row r="109">
          <cell r="E109">
            <v>212032.77000000002</v>
          </cell>
        </row>
        <row r="111">
          <cell r="E111">
            <v>-1746086.05</v>
          </cell>
        </row>
        <row r="114">
          <cell r="E114">
            <v>237227.15</v>
          </cell>
        </row>
        <row r="115">
          <cell r="E115">
            <v>-116065.08000000002</v>
          </cell>
        </row>
        <row r="116">
          <cell r="E116">
            <v>-60</v>
          </cell>
        </row>
        <row r="117">
          <cell r="E117">
            <v>-101.68</v>
          </cell>
        </row>
        <row r="122">
          <cell r="E122">
            <v>-64645.279999999999</v>
          </cell>
        </row>
        <row r="123">
          <cell r="E123">
            <v>-399145.9</v>
          </cell>
        </row>
        <row r="124">
          <cell r="E124">
            <v>-1481.16</v>
          </cell>
        </row>
        <row r="125">
          <cell r="E125">
            <v>-1145.99</v>
          </cell>
        </row>
        <row r="126">
          <cell r="E126">
            <v>-87927.48000000001</v>
          </cell>
        </row>
        <row r="127">
          <cell r="E127">
            <v>-61.44</v>
          </cell>
        </row>
        <row r="128">
          <cell r="E128">
            <v>-599.79999999999995</v>
          </cell>
        </row>
        <row r="129">
          <cell r="E129">
            <v>-202089.18</v>
          </cell>
        </row>
        <row r="130">
          <cell r="E130">
            <v>-43967.59</v>
          </cell>
        </row>
        <row r="131">
          <cell r="E131">
            <v>-1045.19</v>
          </cell>
        </row>
        <row r="132">
          <cell r="E132">
            <v>-28020.62</v>
          </cell>
        </row>
        <row r="133">
          <cell r="E133">
            <v>-8249.23</v>
          </cell>
        </row>
        <row r="134">
          <cell r="E134">
            <v>-411.02000000000004</v>
          </cell>
        </row>
        <row r="135">
          <cell r="E135">
            <v>-1076.32</v>
          </cell>
        </row>
        <row r="136">
          <cell r="E136">
            <v>-463.29</v>
          </cell>
        </row>
        <row r="137">
          <cell r="E137">
            <v>-1000.73</v>
          </cell>
        </row>
        <row r="139">
          <cell r="E139">
            <v>-162141.99</v>
          </cell>
        </row>
        <row r="155">
          <cell r="E155">
            <v>-20000</v>
          </cell>
        </row>
        <row r="159">
          <cell r="E159">
            <v>-2320.5300000000002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febrero"/>
      <sheetName val="Estado resultado acumulado "/>
      <sheetName val="INVENTARIO"/>
      <sheetName val="Depreciaciones "/>
      <sheetName val="deprec. edificio"/>
      <sheetName val="DIFERENCIA ACTIVOS FIJOS"/>
      <sheetName val="Concilaición activos fijos"/>
    </sheetNames>
    <sheetDataSet>
      <sheetData sheetId="0"/>
      <sheetData sheetId="1">
        <row r="92">
          <cell r="D92">
            <v>-17997075.18</v>
          </cell>
        </row>
      </sheetData>
      <sheetData sheetId="2"/>
      <sheetData sheetId="3">
        <row r="32">
          <cell r="E32"/>
        </row>
        <row r="34">
          <cell r="E34"/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enero"/>
      <sheetName val="Depreciaciones "/>
      <sheetName val="deprec. edificio"/>
    </sheetNames>
    <sheetDataSet>
      <sheetData sheetId="0"/>
      <sheetData sheetId="1"/>
      <sheetData sheetId="2"/>
      <sheetData sheetId="3">
        <row r="152">
          <cell r="F152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7"/>
  <sheetViews>
    <sheetView tabSelected="1" topLeftCell="A175" workbookViewId="0">
      <selection activeCell="J179" sqref="J179"/>
    </sheetView>
  </sheetViews>
  <sheetFormatPr baseColWidth="10" defaultRowHeight="15" x14ac:dyDescent="0.25"/>
  <cols>
    <col min="5" max="5" width="17.7109375" customWidth="1"/>
    <col min="6" max="6" width="17.140625" customWidth="1"/>
  </cols>
  <sheetData>
    <row r="1" spans="1:7" x14ac:dyDescent="0.25">
      <c r="E1" s="1"/>
    </row>
    <row r="2" spans="1:7" x14ac:dyDescent="0.25">
      <c r="E2" s="1"/>
    </row>
    <row r="3" spans="1:7" ht="15.75" x14ac:dyDescent="0.25">
      <c r="B3" s="2" t="s">
        <v>0</v>
      </c>
      <c r="C3" s="2"/>
      <c r="D3" s="2"/>
      <c r="E3" s="2"/>
      <c r="F3" s="2"/>
    </row>
    <row r="4" spans="1:7" ht="15.75" x14ac:dyDescent="0.25">
      <c r="B4" s="2" t="s">
        <v>1</v>
      </c>
      <c r="C4" s="2"/>
      <c r="D4" s="2"/>
      <c r="E4" s="2"/>
      <c r="F4" s="2"/>
    </row>
    <row r="5" spans="1:7" ht="15.75" x14ac:dyDescent="0.25">
      <c r="B5" s="2" t="s">
        <v>2</v>
      </c>
      <c r="C5" s="2"/>
      <c r="D5" s="2"/>
      <c r="E5" s="2"/>
      <c r="F5" s="2"/>
    </row>
    <row r="6" spans="1:7" ht="15.75" x14ac:dyDescent="0.25">
      <c r="B6" s="2" t="s">
        <v>3</v>
      </c>
      <c r="C6" s="2"/>
      <c r="D6" s="2"/>
      <c r="E6" s="2"/>
      <c r="F6" s="2"/>
    </row>
    <row r="7" spans="1:7" ht="18.75" x14ac:dyDescent="0.25">
      <c r="B7" s="3"/>
      <c r="E7" s="1"/>
      <c r="F7" s="4"/>
    </row>
    <row r="8" spans="1:7" x14ac:dyDescent="0.25">
      <c r="A8" s="5"/>
      <c r="B8" s="6"/>
      <c r="C8" s="7"/>
      <c r="D8" s="7"/>
      <c r="E8" s="8"/>
      <c r="F8" s="9"/>
      <c r="G8" s="10"/>
    </row>
    <row r="9" spans="1:7" x14ac:dyDescent="0.25">
      <c r="A9" s="5"/>
      <c r="B9" s="6"/>
      <c r="C9" s="7"/>
      <c r="D9" s="7"/>
      <c r="E9" s="8"/>
      <c r="F9" s="9"/>
      <c r="G9" s="10"/>
    </row>
    <row r="10" spans="1:7" x14ac:dyDescent="0.25">
      <c r="A10" s="5">
        <v>4</v>
      </c>
      <c r="B10" s="11" t="s">
        <v>4</v>
      </c>
      <c r="C10" s="11"/>
      <c r="D10" s="11"/>
      <c r="E10" s="12"/>
      <c r="F10" s="9">
        <f>F11</f>
        <v>81523487.670000002</v>
      </c>
      <c r="G10" s="10"/>
    </row>
    <row r="11" spans="1:7" x14ac:dyDescent="0.25">
      <c r="A11" s="5">
        <v>4.2</v>
      </c>
      <c r="B11" s="13" t="s">
        <v>5</v>
      </c>
      <c r="C11" s="13"/>
      <c r="D11" s="13"/>
      <c r="E11" s="12"/>
      <c r="F11" s="9">
        <f>F12+F17+F20</f>
        <v>81523487.670000002</v>
      </c>
      <c r="G11" s="1"/>
    </row>
    <row r="12" spans="1:7" x14ac:dyDescent="0.25">
      <c r="A12" s="15" t="s">
        <v>6</v>
      </c>
      <c r="B12" s="13" t="s">
        <v>7</v>
      </c>
      <c r="C12" s="13"/>
      <c r="D12" s="13"/>
      <c r="E12" s="12"/>
      <c r="F12" s="9">
        <f>E13</f>
        <v>80709904.049999997</v>
      </c>
      <c r="G12" s="1"/>
    </row>
    <row r="13" spans="1:7" x14ac:dyDescent="0.25">
      <c r="A13" s="16" t="s">
        <v>8</v>
      </c>
      <c r="B13" s="17" t="s">
        <v>9</v>
      </c>
      <c r="C13" s="17"/>
      <c r="D13" s="17"/>
      <c r="E13" s="18">
        <f>E14</f>
        <v>80709904.049999997</v>
      </c>
      <c r="F13" s="14"/>
      <c r="G13" s="1"/>
    </row>
    <row r="14" spans="1:7" x14ac:dyDescent="0.25">
      <c r="A14" s="16" t="s">
        <v>10</v>
      </c>
      <c r="B14" s="17" t="s">
        <v>11</v>
      </c>
      <c r="C14" s="17"/>
      <c r="D14" s="17"/>
      <c r="E14" s="19">
        <f>SUM(E15:E16)</f>
        <v>80709904.049999997</v>
      </c>
      <c r="F14" s="14"/>
      <c r="G14" s="1"/>
    </row>
    <row r="15" spans="1:7" x14ac:dyDescent="0.25">
      <c r="A15" s="16" t="s">
        <v>12</v>
      </c>
      <c r="B15" s="17" t="s">
        <v>13</v>
      </c>
      <c r="C15" s="17"/>
      <c r="D15" s="17"/>
      <c r="E15" s="19">
        <f>56256529.82+'[1]Estado resultado mes MARZO'!E12</f>
        <v>80561604.049999997</v>
      </c>
      <c r="F15" s="20"/>
      <c r="G15" s="1"/>
    </row>
    <row r="16" spans="1:7" x14ac:dyDescent="0.25">
      <c r="A16" s="16" t="s">
        <v>14</v>
      </c>
      <c r="B16" s="17" t="s">
        <v>15</v>
      </c>
      <c r="C16" s="17"/>
      <c r="D16" s="17"/>
      <c r="E16" s="21">
        <f>148300+'[1]Estado resultado mes MARZO'!E13</f>
        <v>148300</v>
      </c>
      <c r="F16" s="22"/>
      <c r="G16" s="23"/>
    </row>
    <row r="17" spans="1:8" x14ac:dyDescent="0.25">
      <c r="A17" s="15" t="s">
        <v>16</v>
      </c>
      <c r="B17" s="13" t="s">
        <v>17</v>
      </c>
      <c r="C17" s="13"/>
      <c r="D17" s="13"/>
      <c r="E17" s="24"/>
      <c r="F17" s="25">
        <f>E18</f>
        <v>813583.62</v>
      </c>
      <c r="G17" s="23"/>
    </row>
    <row r="18" spans="1:8" x14ac:dyDescent="0.25">
      <c r="A18" s="15" t="s">
        <v>18</v>
      </c>
      <c r="B18" s="13" t="s">
        <v>19</v>
      </c>
      <c r="C18" s="13"/>
      <c r="D18" s="13"/>
      <c r="E18" s="25">
        <f>E19</f>
        <v>813583.62</v>
      </c>
      <c r="F18" s="22"/>
      <c r="G18" s="23"/>
    </row>
    <row r="19" spans="1:8" x14ac:dyDescent="0.25">
      <c r="A19" s="16" t="s">
        <v>20</v>
      </c>
      <c r="B19" s="26" t="s">
        <v>21</v>
      </c>
      <c r="C19" s="26"/>
      <c r="D19" s="26"/>
      <c r="E19" s="19">
        <f>171082.87+'[1]Estado resultado mes MARZO'!E16</f>
        <v>813583.62</v>
      </c>
      <c r="F19" s="22"/>
      <c r="G19" s="23"/>
    </row>
    <row r="20" spans="1:8" x14ac:dyDescent="0.25">
      <c r="A20" s="15" t="s">
        <v>22</v>
      </c>
      <c r="B20" s="27" t="s">
        <v>23</v>
      </c>
      <c r="C20" s="27"/>
      <c r="D20" s="27"/>
      <c r="E20" s="1"/>
      <c r="F20" s="18">
        <f>+E21</f>
        <v>0</v>
      </c>
      <c r="G20" s="23"/>
    </row>
    <row r="21" spans="1:8" x14ac:dyDescent="0.25">
      <c r="A21" s="15" t="s">
        <v>24</v>
      </c>
      <c r="B21" s="27" t="s">
        <v>25</v>
      </c>
      <c r="C21" s="27"/>
      <c r="D21" s="27"/>
      <c r="E21" s="18">
        <f>+E22</f>
        <v>0</v>
      </c>
      <c r="F21" s="22"/>
      <c r="G21" s="23"/>
    </row>
    <row r="22" spans="1:8" x14ac:dyDescent="0.25">
      <c r="A22" s="16" t="s">
        <v>26</v>
      </c>
      <c r="B22" s="26" t="s">
        <v>27</v>
      </c>
      <c r="C22" s="26"/>
      <c r="D22" s="26"/>
      <c r="E22" s="19">
        <f>+'[1]Estado resultado mes MARZO'!E19</f>
        <v>0</v>
      </c>
      <c r="F22" s="22"/>
      <c r="G22" s="23"/>
    </row>
    <row r="23" spans="1:8" x14ac:dyDescent="0.25">
      <c r="A23" s="16"/>
      <c r="B23" s="28"/>
      <c r="C23" s="29"/>
      <c r="D23" s="22"/>
      <c r="E23" s="24"/>
      <c r="F23" s="14"/>
      <c r="G23" s="30"/>
    </row>
    <row r="24" spans="1:8" x14ac:dyDescent="0.25">
      <c r="A24" s="15">
        <v>5</v>
      </c>
      <c r="B24" s="27" t="s">
        <v>28</v>
      </c>
      <c r="C24" s="27"/>
      <c r="D24" s="27"/>
      <c r="E24" s="25"/>
      <c r="F24" s="14">
        <f>+E25+E181+E178</f>
        <v>-67024105.219999999</v>
      </c>
      <c r="G24" s="30"/>
      <c r="H24" s="31"/>
    </row>
    <row r="25" spans="1:8" x14ac:dyDescent="0.25">
      <c r="A25" s="15">
        <v>5.0999999999999996</v>
      </c>
      <c r="B25" s="13" t="s">
        <v>29</v>
      </c>
      <c r="C25" s="13"/>
      <c r="D25" s="13"/>
      <c r="E25" s="32">
        <f>+E26+E59+E115+E139+E167+E174</f>
        <v>-66999974.619999997</v>
      </c>
      <c r="F25" s="33"/>
      <c r="G25" s="30"/>
    </row>
    <row r="26" spans="1:8" x14ac:dyDescent="0.25">
      <c r="A26" s="15" t="s">
        <v>30</v>
      </c>
      <c r="B26" s="13" t="s">
        <v>31</v>
      </c>
      <c r="C26" s="13"/>
      <c r="D26" s="13"/>
      <c r="E26" s="32">
        <f>+E27+E36+E40+E43+E45</f>
        <v>-55786225.370000005</v>
      </c>
      <c r="F26" s="34"/>
      <c r="G26" s="30"/>
      <c r="H26" s="10"/>
    </row>
    <row r="27" spans="1:8" x14ac:dyDescent="0.25">
      <c r="A27" s="15" t="s">
        <v>32</v>
      </c>
      <c r="B27" s="13" t="s">
        <v>33</v>
      </c>
      <c r="C27" s="13"/>
      <c r="D27" s="13"/>
      <c r="E27" s="32">
        <f>+E28+E30+E32+E34+E35</f>
        <v>-47571477.600000001</v>
      </c>
      <c r="F27" s="34"/>
      <c r="G27" s="30"/>
      <c r="H27" s="10"/>
    </row>
    <row r="28" spans="1:8" x14ac:dyDescent="0.25">
      <c r="A28" s="15" t="s">
        <v>34</v>
      </c>
      <c r="B28" s="13" t="s">
        <v>35</v>
      </c>
      <c r="C28" s="13"/>
      <c r="D28" s="13"/>
      <c r="E28" s="35">
        <f>SUM(E29)</f>
        <v>-28063235</v>
      </c>
      <c r="F28" s="34"/>
      <c r="G28" s="30"/>
      <c r="H28" s="10"/>
    </row>
    <row r="29" spans="1:8" x14ac:dyDescent="0.25">
      <c r="A29" s="16" t="s">
        <v>36</v>
      </c>
      <c r="B29" s="17" t="s">
        <v>37</v>
      </c>
      <c r="C29" s="17"/>
      <c r="D29" s="17"/>
      <c r="E29" s="36">
        <f>-18824675+'[1]Estado resultado mes MARZO'!E26</f>
        <v>-28063235</v>
      </c>
      <c r="F29" s="37"/>
      <c r="G29" s="30"/>
      <c r="H29" s="38"/>
    </row>
    <row r="30" spans="1:8" x14ac:dyDescent="0.25">
      <c r="A30" s="15" t="s">
        <v>38</v>
      </c>
      <c r="B30" s="13" t="s">
        <v>39</v>
      </c>
      <c r="C30" s="13"/>
      <c r="D30" s="13"/>
      <c r="E30" s="35">
        <f>SUM(E31)</f>
        <v>-19178900</v>
      </c>
      <c r="F30" s="37"/>
      <c r="G30" s="30"/>
      <c r="H30" s="38"/>
    </row>
    <row r="31" spans="1:8" x14ac:dyDescent="0.25">
      <c r="A31" s="16" t="s">
        <v>40</v>
      </c>
      <c r="B31" s="39" t="s">
        <v>41</v>
      </c>
      <c r="C31" s="39"/>
      <c r="D31" s="39"/>
      <c r="E31" s="40">
        <f>-12711600+'[1]Estado resultado mes MARZO'!E28</f>
        <v>-19178900</v>
      </c>
      <c r="F31" s="41"/>
      <c r="G31" s="30"/>
      <c r="H31" s="38"/>
    </row>
    <row r="32" spans="1:8" x14ac:dyDescent="0.25">
      <c r="A32" s="15" t="s">
        <v>42</v>
      </c>
      <c r="B32" s="13" t="s">
        <v>43</v>
      </c>
      <c r="C32" s="13"/>
      <c r="D32" s="13"/>
      <c r="E32" s="40">
        <f>SUM(E33)</f>
        <v>0</v>
      </c>
      <c r="F32" s="41"/>
      <c r="G32" s="30"/>
      <c r="H32" s="38"/>
    </row>
    <row r="33" spans="1:8" x14ac:dyDescent="0.25">
      <c r="A33" s="16" t="s">
        <v>44</v>
      </c>
      <c r="B33" s="17" t="s">
        <v>45</v>
      </c>
      <c r="C33" s="17"/>
      <c r="D33" s="17"/>
      <c r="E33" s="40">
        <f>+'[1]Estado resultado mes MARZO'!E30</f>
        <v>0</v>
      </c>
      <c r="F33" s="41"/>
      <c r="G33" s="30"/>
      <c r="H33" s="38"/>
    </row>
    <row r="34" spans="1:8" x14ac:dyDescent="0.25">
      <c r="A34" s="15" t="s">
        <v>46</v>
      </c>
      <c r="B34" s="13" t="s">
        <v>47</v>
      </c>
      <c r="C34" s="13"/>
      <c r="D34" s="13"/>
      <c r="E34" s="42">
        <f>-226228.4+'[1]Estado resultado mes MARZO'!E31</f>
        <v>-329342.59999999998</v>
      </c>
      <c r="F34" s="41"/>
      <c r="G34" s="30"/>
      <c r="H34" s="38"/>
    </row>
    <row r="35" spans="1:8" x14ac:dyDescent="0.25">
      <c r="A35" s="15" t="s">
        <v>48</v>
      </c>
      <c r="B35" s="13" t="s">
        <v>49</v>
      </c>
      <c r="C35" s="13"/>
      <c r="D35" s="13"/>
      <c r="E35" s="40">
        <f>+'[2]Estado resultado mes febrero'!E32</f>
        <v>0</v>
      </c>
      <c r="F35" s="41"/>
      <c r="G35" s="30"/>
      <c r="H35" s="38"/>
    </row>
    <row r="36" spans="1:8" x14ac:dyDescent="0.25">
      <c r="A36" s="15" t="s">
        <v>50</v>
      </c>
      <c r="B36" s="13" t="s">
        <v>51</v>
      </c>
      <c r="C36" s="13"/>
      <c r="D36" s="13"/>
      <c r="E36" s="42">
        <f>+E37+E38</f>
        <v>-957073.5</v>
      </c>
      <c r="F36" s="41"/>
      <c r="G36" s="30"/>
      <c r="H36" s="38"/>
    </row>
    <row r="37" spans="1:8" x14ac:dyDescent="0.25">
      <c r="A37" s="16" t="s">
        <v>52</v>
      </c>
      <c r="B37" s="17" t="s">
        <v>53</v>
      </c>
      <c r="C37" s="17"/>
      <c r="D37" s="17"/>
      <c r="E37" s="40">
        <f>+'[2]Estado resultado mes febrero'!E34</f>
        <v>0</v>
      </c>
      <c r="F37" s="41"/>
      <c r="G37" s="30"/>
      <c r="H37" s="38"/>
    </row>
    <row r="38" spans="1:8" x14ac:dyDescent="0.25">
      <c r="A38" s="15" t="s">
        <v>54</v>
      </c>
      <c r="B38" s="13" t="s">
        <v>55</v>
      </c>
      <c r="C38" s="13"/>
      <c r="D38" s="13"/>
      <c r="E38" s="43">
        <f>SUM(E39)</f>
        <v>-957073.5</v>
      </c>
      <c r="F38" s="44"/>
      <c r="G38" s="30"/>
      <c r="H38" s="38"/>
    </row>
    <row r="39" spans="1:8" x14ac:dyDescent="0.25">
      <c r="A39" s="16" t="s">
        <v>56</v>
      </c>
      <c r="B39" s="17" t="s">
        <v>57</v>
      </c>
      <c r="C39" s="17"/>
      <c r="D39" s="17"/>
      <c r="E39" s="40">
        <f>-638049+'[1]Estado resultado mes MARZO'!E36</f>
        <v>-957073.5</v>
      </c>
      <c r="F39" s="34"/>
      <c r="G39" s="30"/>
      <c r="H39" s="38"/>
    </row>
    <row r="40" spans="1:8" x14ac:dyDescent="0.25">
      <c r="A40" s="15" t="s">
        <v>58</v>
      </c>
      <c r="B40" s="13" t="s">
        <v>59</v>
      </c>
      <c r="C40" s="13"/>
      <c r="D40" s="13"/>
      <c r="E40" s="42">
        <f>+E41</f>
        <v>0</v>
      </c>
      <c r="F40" s="34"/>
      <c r="G40" s="30"/>
      <c r="H40" s="38"/>
    </row>
    <row r="41" spans="1:8" x14ac:dyDescent="0.25">
      <c r="A41" s="15" t="s">
        <v>60</v>
      </c>
      <c r="B41" s="13" t="s">
        <v>61</v>
      </c>
      <c r="C41" s="13"/>
      <c r="D41" s="13"/>
      <c r="E41" s="40">
        <f>SUM(E42)</f>
        <v>0</v>
      </c>
      <c r="F41" s="34"/>
      <c r="G41" s="30"/>
      <c r="H41" s="38"/>
    </row>
    <row r="42" spans="1:8" x14ac:dyDescent="0.25">
      <c r="A42" s="16" t="s">
        <v>62</v>
      </c>
      <c r="B42" s="17" t="s">
        <v>63</v>
      </c>
      <c r="C42" s="17"/>
      <c r="D42" s="17"/>
      <c r="E42" s="40"/>
      <c r="F42" s="34"/>
      <c r="G42" s="30"/>
      <c r="H42" s="38"/>
    </row>
    <row r="43" spans="1:8" x14ac:dyDescent="0.25">
      <c r="A43" s="15" t="s">
        <v>64</v>
      </c>
      <c r="B43" s="13" t="s">
        <v>65</v>
      </c>
      <c r="C43" s="13"/>
      <c r="D43" s="13"/>
      <c r="E43" s="42">
        <f>+E44</f>
        <v>0</v>
      </c>
      <c r="F43" s="34"/>
      <c r="G43" s="30"/>
      <c r="H43" s="38"/>
    </row>
    <row r="44" spans="1:8" x14ac:dyDescent="0.25">
      <c r="A44" s="16" t="s">
        <v>66</v>
      </c>
      <c r="B44" s="17" t="s">
        <v>67</v>
      </c>
      <c r="C44" s="17"/>
      <c r="D44" s="17"/>
      <c r="E44" s="40"/>
      <c r="F44" s="34"/>
      <c r="G44" s="30"/>
      <c r="H44" s="38"/>
    </row>
    <row r="45" spans="1:8" x14ac:dyDescent="0.25">
      <c r="A45" s="15" t="s">
        <v>68</v>
      </c>
      <c r="B45" s="13" t="s">
        <v>69</v>
      </c>
      <c r="C45" s="13"/>
      <c r="D45" s="13"/>
      <c r="E45" s="45">
        <f>SUM(E46:E48)</f>
        <v>-7257674.2700000005</v>
      </c>
      <c r="F45" s="34"/>
      <c r="G45" s="30"/>
      <c r="H45" s="38"/>
    </row>
    <row r="46" spans="1:8" x14ac:dyDescent="0.25">
      <c r="A46" s="16" t="s">
        <v>70</v>
      </c>
      <c r="B46" s="17" t="s">
        <v>71</v>
      </c>
      <c r="C46" s="17"/>
      <c r="D46" s="17"/>
      <c r="E46" s="46">
        <f>-2243492.21+'[1]Estado resultado mes MARZO'!E43</f>
        <v>-3360344.44</v>
      </c>
      <c r="F46" s="34"/>
      <c r="G46" s="30"/>
      <c r="H46" s="38"/>
    </row>
    <row r="47" spans="1:8" x14ac:dyDescent="0.25">
      <c r="A47" s="16" t="s">
        <v>72</v>
      </c>
      <c r="B47" s="17" t="s">
        <v>73</v>
      </c>
      <c r="C47" s="17"/>
      <c r="D47" s="17"/>
      <c r="E47" s="46">
        <f>-2255137.78+'[1]Estado resultado mes MARZO'!E44</f>
        <v>-3377574.9699999997</v>
      </c>
      <c r="F47" s="34"/>
      <c r="G47" s="30"/>
      <c r="H47" s="38"/>
    </row>
    <row r="48" spans="1:8" x14ac:dyDescent="0.25">
      <c r="A48" s="16" t="s">
        <v>74</v>
      </c>
      <c r="B48" s="17" t="s">
        <v>75</v>
      </c>
      <c r="C48" s="17"/>
      <c r="D48" s="17"/>
      <c r="E48" s="46">
        <f>-346999.72+'[1]Estado resultado mes MARZO'!E45</f>
        <v>-519754.86</v>
      </c>
      <c r="F48" s="34"/>
      <c r="G48" s="30"/>
      <c r="H48" s="38"/>
    </row>
    <row r="49" spans="1:8" x14ac:dyDescent="0.25">
      <c r="A49" s="15"/>
      <c r="B49" s="47"/>
      <c r="C49" s="47"/>
      <c r="D49" s="47"/>
      <c r="E49" s="46"/>
      <c r="F49" s="34"/>
      <c r="G49" s="30"/>
      <c r="H49" s="38"/>
    </row>
    <row r="50" spans="1:8" x14ac:dyDescent="0.25">
      <c r="A50" s="15"/>
      <c r="B50" s="47"/>
      <c r="C50" s="47"/>
      <c r="D50" s="47"/>
      <c r="E50" s="46"/>
      <c r="F50" s="34"/>
      <c r="G50" s="30"/>
      <c r="H50" s="38"/>
    </row>
    <row r="51" spans="1:8" x14ac:dyDescent="0.25">
      <c r="A51" s="15"/>
      <c r="B51" s="47"/>
      <c r="C51" s="47"/>
      <c r="D51" s="47"/>
      <c r="E51" s="46"/>
      <c r="F51" s="34"/>
      <c r="G51" s="30"/>
      <c r="H51" s="38"/>
    </row>
    <row r="52" spans="1:8" x14ac:dyDescent="0.25">
      <c r="A52" s="15"/>
      <c r="B52" s="47"/>
      <c r="C52" s="47"/>
      <c r="D52" s="47"/>
      <c r="E52" s="46"/>
      <c r="F52" s="34"/>
      <c r="G52" s="30"/>
      <c r="H52" s="38"/>
    </row>
    <row r="53" spans="1:8" x14ac:dyDescent="0.25">
      <c r="A53" s="15"/>
      <c r="B53" s="47"/>
      <c r="C53" s="47"/>
      <c r="D53" s="47"/>
      <c r="E53" s="46"/>
      <c r="F53" s="34"/>
      <c r="G53" s="30"/>
      <c r="H53" s="38"/>
    </row>
    <row r="54" spans="1:8" x14ac:dyDescent="0.25">
      <c r="A54" s="15"/>
      <c r="B54" s="47"/>
      <c r="C54" s="47"/>
      <c r="D54" s="47"/>
      <c r="E54" s="46"/>
      <c r="F54" s="34"/>
      <c r="G54" s="30"/>
      <c r="H54" s="38"/>
    </row>
    <row r="55" spans="1:8" x14ac:dyDescent="0.25">
      <c r="A55" s="15"/>
      <c r="B55" s="47"/>
      <c r="C55" s="47"/>
      <c r="D55" s="47"/>
      <c r="E55" s="46"/>
      <c r="F55" s="34"/>
      <c r="G55" s="30"/>
      <c r="H55" s="38"/>
    </row>
    <row r="56" spans="1:8" x14ac:dyDescent="0.25">
      <c r="A56" s="15"/>
      <c r="B56" s="47"/>
      <c r="C56" s="47"/>
      <c r="D56" s="47"/>
      <c r="E56" s="46"/>
      <c r="F56" s="34"/>
      <c r="G56" s="30"/>
      <c r="H56" s="38"/>
    </row>
    <row r="57" spans="1:8" x14ac:dyDescent="0.25">
      <c r="A57" s="15"/>
      <c r="B57" s="47"/>
      <c r="C57" s="47"/>
      <c r="D57" s="47"/>
      <c r="E57" s="46"/>
      <c r="F57" s="34"/>
      <c r="G57" s="30"/>
      <c r="H57" s="38"/>
    </row>
    <row r="58" spans="1:8" x14ac:dyDescent="0.25">
      <c r="A58" s="15"/>
      <c r="B58" s="47"/>
      <c r="C58" s="47"/>
      <c r="D58" s="47"/>
      <c r="E58" s="46"/>
      <c r="F58" s="34"/>
      <c r="G58" s="30"/>
      <c r="H58" s="38"/>
    </row>
    <row r="59" spans="1:8" x14ac:dyDescent="0.25">
      <c r="A59" s="15" t="s">
        <v>76</v>
      </c>
      <c r="B59" s="13" t="s">
        <v>77</v>
      </c>
      <c r="C59" s="13"/>
      <c r="D59" s="13"/>
      <c r="E59" s="45">
        <f>+E60+E66+E68+E71+E75+E78+E82+E87+E95+E106+E85+E112+E108</f>
        <v>-5003562.08</v>
      </c>
      <c r="F59" s="34"/>
      <c r="G59" s="30"/>
      <c r="H59" s="38"/>
    </row>
    <row r="60" spans="1:8" x14ac:dyDescent="0.25">
      <c r="A60" s="15" t="s">
        <v>78</v>
      </c>
      <c r="B60" s="13" t="s">
        <v>79</v>
      </c>
      <c r="C60" s="13"/>
      <c r="D60" s="13"/>
      <c r="E60" s="45">
        <f>SUM(E61:E65)</f>
        <v>-1996089.69</v>
      </c>
      <c r="F60" s="34"/>
      <c r="G60" s="30"/>
      <c r="H60" s="38"/>
    </row>
    <row r="61" spans="1:8" x14ac:dyDescent="0.25">
      <c r="A61" s="16" t="s">
        <v>80</v>
      </c>
      <c r="B61" s="26" t="s">
        <v>81</v>
      </c>
      <c r="C61" s="26"/>
      <c r="D61" s="26"/>
      <c r="E61" s="40">
        <f>-260652.08+'[1]Estado resultado mes MARZO'!E49</f>
        <v>-497397.68</v>
      </c>
      <c r="F61" s="41"/>
      <c r="G61" s="48"/>
      <c r="H61" s="10"/>
    </row>
    <row r="62" spans="1:8" x14ac:dyDescent="0.25">
      <c r="A62" s="16" t="s">
        <v>82</v>
      </c>
      <c r="B62" s="26" t="s">
        <v>83</v>
      </c>
      <c r="C62" s="26"/>
      <c r="D62" s="26"/>
      <c r="E62" s="40">
        <f>-328667.56+'[1]Estado resultado mes MARZO'!E50</f>
        <v>-599138.1</v>
      </c>
      <c r="F62" s="49"/>
      <c r="G62" s="30"/>
    </row>
    <row r="63" spans="1:8" x14ac:dyDescent="0.25">
      <c r="A63" s="16" t="s">
        <v>84</v>
      </c>
      <c r="B63" s="26" t="s">
        <v>85</v>
      </c>
      <c r="C63" s="26"/>
      <c r="D63" s="26"/>
      <c r="E63" s="40">
        <f>-411858.31+'[1]Estado resultado mes MARZO'!E51</f>
        <v>-837958.90999999992</v>
      </c>
      <c r="F63" s="49"/>
      <c r="G63" s="30"/>
    </row>
    <row r="64" spans="1:8" x14ac:dyDescent="0.25">
      <c r="A64" s="16" t="s">
        <v>86</v>
      </c>
      <c r="B64" s="26" t="s">
        <v>87</v>
      </c>
      <c r="C64" s="26"/>
      <c r="D64" s="26"/>
      <c r="E64" s="40">
        <f>-5070+'[1]Estado resultado mes MARZO'!E52</f>
        <v>-15210</v>
      </c>
      <c r="F64" s="49"/>
      <c r="G64" s="30"/>
    </row>
    <row r="65" spans="1:7" x14ac:dyDescent="0.25">
      <c r="A65" s="16" t="s">
        <v>88</v>
      </c>
      <c r="B65" s="26" t="s">
        <v>89</v>
      </c>
      <c r="C65" s="26"/>
      <c r="D65" s="26"/>
      <c r="E65" s="40">
        <f>-37470+'[1]Estado resultado mes MARZO'!E53</f>
        <v>-46385</v>
      </c>
      <c r="F65" s="49"/>
      <c r="G65" s="30"/>
    </row>
    <row r="66" spans="1:7" x14ac:dyDescent="0.25">
      <c r="A66" s="15" t="s">
        <v>90</v>
      </c>
      <c r="B66" s="27" t="s">
        <v>91</v>
      </c>
      <c r="C66" s="27"/>
      <c r="D66" s="27"/>
      <c r="E66" s="42">
        <f>SUM(E67)</f>
        <v>-119500</v>
      </c>
      <c r="F66" s="49"/>
      <c r="G66" s="30"/>
    </row>
    <row r="67" spans="1:7" x14ac:dyDescent="0.25">
      <c r="A67" s="16" t="s">
        <v>92</v>
      </c>
      <c r="B67" s="17" t="s">
        <v>93</v>
      </c>
      <c r="C67" s="17"/>
      <c r="D67" s="17"/>
      <c r="E67" s="50">
        <f>-29500+'[1]Estado resultado mes MARZO'!E55</f>
        <v>-119500</v>
      </c>
      <c r="F67" s="34"/>
      <c r="G67" s="30"/>
    </row>
    <row r="68" spans="1:7" x14ac:dyDescent="0.25">
      <c r="A68" s="15" t="s">
        <v>94</v>
      </c>
      <c r="B68" s="13" t="s">
        <v>95</v>
      </c>
      <c r="C68" s="13"/>
      <c r="D68" s="13"/>
      <c r="E68" s="42">
        <f>SUM(E69:E70)</f>
        <v>-727086.86</v>
      </c>
      <c r="F68" s="41"/>
      <c r="G68" s="30"/>
    </row>
    <row r="69" spans="1:7" x14ac:dyDescent="0.25">
      <c r="A69" s="16" t="s">
        <v>96</v>
      </c>
      <c r="B69" s="17" t="s">
        <v>97</v>
      </c>
      <c r="C69" s="17"/>
      <c r="D69" s="17"/>
      <c r="E69" s="40">
        <f>+'[1]Estado resultado mes MARZO'!E57</f>
        <v>-314592.5</v>
      </c>
      <c r="F69" s="41"/>
      <c r="G69" s="30"/>
    </row>
    <row r="70" spans="1:7" x14ac:dyDescent="0.25">
      <c r="A70" s="16" t="s">
        <v>98</v>
      </c>
      <c r="B70" s="51" t="s">
        <v>99</v>
      </c>
      <c r="C70" s="51"/>
      <c r="D70" s="51"/>
      <c r="E70" s="40">
        <f>+'[1]Estado resultado mes MARZO'!E58</f>
        <v>-412494.36</v>
      </c>
      <c r="F70" s="41"/>
      <c r="G70" s="30"/>
    </row>
    <row r="71" spans="1:7" x14ac:dyDescent="0.25">
      <c r="A71" s="15" t="s">
        <v>100</v>
      </c>
      <c r="B71" s="13" t="s">
        <v>101</v>
      </c>
      <c r="C71" s="13"/>
      <c r="D71" s="13"/>
      <c r="E71" s="42">
        <f>SUM(E72:E74)</f>
        <v>-234907</v>
      </c>
      <c r="F71" s="41"/>
      <c r="G71" s="30"/>
    </row>
    <row r="72" spans="1:7" x14ac:dyDescent="0.25">
      <c r="A72" s="16" t="s">
        <v>102</v>
      </c>
      <c r="B72" s="17" t="s">
        <v>103</v>
      </c>
      <c r="C72" s="17"/>
      <c r="D72" s="17"/>
      <c r="E72" s="40">
        <f>+'[1]Estado resultado mes MARZO'!E60</f>
        <v>0</v>
      </c>
      <c r="F72" s="41"/>
      <c r="G72" s="30"/>
    </row>
    <row r="73" spans="1:7" x14ac:dyDescent="0.25">
      <c r="A73" s="16" t="s">
        <v>104</v>
      </c>
      <c r="B73" s="17" t="s">
        <v>105</v>
      </c>
      <c r="C73" s="17"/>
      <c r="D73" s="17"/>
      <c r="E73" s="40">
        <f>+'[1]Estado resultado mes MARZO'!E61</f>
        <v>-234907</v>
      </c>
      <c r="F73" s="41"/>
      <c r="G73" s="30"/>
    </row>
    <row r="74" spans="1:7" x14ac:dyDescent="0.25">
      <c r="A74" s="16" t="s">
        <v>106</v>
      </c>
      <c r="B74" s="17" t="s">
        <v>107</v>
      </c>
      <c r="C74" s="17"/>
      <c r="D74" s="17"/>
      <c r="E74" s="40">
        <f>+'[1]Estado resultado mes MARZO'!E62</f>
        <v>0</v>
      </c>
      <c r="F74" s="41"/>
      <c r="G74" s="30"/>
    </row>
    <row r="75" spans="1:7" x14ac:dyDescent="0.25">
      <c r="A75" s="15" t="s">
        <v>108</v>
      </c>
      <c r="B75" s="13" t="s">
        <v>109</v>
      </c>
      <c r="C75" s="13"/>
      <c r="D75" s="13"/>
      <c r="E75" s="42">
        <f>+E76</f>
        <v>-440000</v>
      </c>
      <c r="F75" s="41"/>
      <c r="G75" s="30"/>
    </row>
    <row r="76" spans="1:7" x14ac:dyDescent="0.25">
      <c r="A76" s="15" t="s">
        <v>110</v>
      </c>
      <c r="B76" s="13" t="s">
        <v>111</v>
      </c>
      <c r="C76" s="13"/>
      <c r="D76" s="13"/>
      <c r="E76" s="42">
        <f>SUM(E77)</f>
        <v>-440000</v>
      </c>
      <c r="F76" s="41"/>
      <c r="G76" s="30"/>
    </row>
    <row r="77" spans="1:7" x14ac:dyDescent="0.25">
      <c r="A77" s="16" t="s">
        <v>112</v>
      </c>
      <c r="B77" s="17" t="s">
        <v>113</v>
      </c>
      <c r="C77" s="17"/>
      <c r="D77" s="17"/>
      <c r="E77" s="40">
        <f>-400000+'[1]Estado resultado mes MARZO'!E65</f>
        <v>-440000</v>
      </c>
      <c r="F77" s="41"/>
      <c r="G77" s="30"/>
    </row>
    <row r="78" spans="1:7" x14ac:dyDescent="0.25">
      <c r="A78" s="15" t="s">
        <v>114</v>
      </c>
      <c r="B78" s="13" t="s">
        <v>115</v>
      </c>
      <c r="C78" s="13"/>
      <c r="D78" s="13"/>
      <c r="E78" s="42">
        <f>SUM(E79:E81)</f>
        <v>-788853.77</v>
      </c>
      <c r="F78" s="41"/>
      <c r="G78" s="30"/>
    </row>
    <row r="79" spans="1:7" x14ac:dyDescent="0.25">
      <c r="A79" s="16" t="s">
        <v>116</v>
      </c>
      <c r="B79" s="17" t="s">
        <v>117</v>
      </c>
      <c r="C79" s="17"/>
      <c r="D79" s="17"/>
      <c r="E79" s="40">
        <f>-400397.2+'[1]Estado resultado mes MARZO'!E67</f>
        <v>-400397.2</v>
      </c>
      <c r="F79" s="41"/>
      <c r="G79" s="30"/>
    </row>
    <row r="80" spans="1:7" x14ac:dyDescent="0.25">
      <c r="A80" s="16" t="s">
        <v>118</v>
      </c>
      <c r="B80" s="17" t="s">
        <v>119</v>
      </c>
      <c r="C80" s="17"/>
      <c r="D80" s="17"/>
      <c r="E80" s="40">
        <f>+'[1]Estado resultado mes MARZO'!E68</f>
        <v>0</v>
      </c>
      <c r="F80" s="41"/>
      <c r="G80" s="30"/>
    </row>
    <row r="81" spans="1:7" x14ac:dyDescent="0.25">
      <c r="A81" s="16" t="s">
        <v>120</v>
      </c>
      <c r="B81" s="17" t="s">
        <v>121</v>
      </c>
      <c r="C81" s="17"/>
      <c r="D81" s="17"/>
      <c r="E81" s="40">
        <f>-255476.77+'[1]Estado resultado mes MARZO'!E69</f>
        <v>-388456.56999999995</v>
      </c>
      <c r="F81" s="41"/>
      <c r="G81" s="30"/>
    </row>
    <row r="82" spans="1:7" x14ac:dyDescent="0.25">
      <c r="A82" s="15" t="s">
        <v>122</v>
      </c>
      <c r="B82" s="27" t="s">
        <v>123</v>
      </c>
      <c r="C82" s="27"/>
      <c r="D82" s="27"/>
      <c r="E82" s="42">
        <f>SUM(E83)</f>
        <v>-54052.51</v>
      </c>
      <c r="F82" s="41"/>
      <c r="G82" s="30"/>
    </row>
    <row r="83" spans="1:7" x14ac:dyDescent="0.25">
      <c r="A83" s="15" t="s">
        <v>124</v>
      </c>
      <c r="B83" s="13" t="s">
        <v>125</v>
      </c>
      <c r="C83" s="13"/>
      <c r="D83" s="13"/>
      <c r="E83" s="42">
        <f>+E84</f>
        <v>-54052.51</v>
      </c>
      <c r="F83" s="41"/>
      <c r="G83" s="30"/>
    </row>
    <row r="84" spans="1:7" x14ac:dyDescent="0.25">
      <c r="A84" s="16" t="s">
        <v>126</v>
      </c>
      <c r="B84" s="17" t="s">
        <v>127</v>
      </c>
      <c r="C84" s="17"/>
      <c r="D84" s="17"/>
      <c r="E84" s="40">
        <f>+'[1]Estado resultado mes MARZO'!E72</f>
        <v>-54052.51</v>
      </c>
      <c r="F84" s="41"/>
      <c r="G84" s="30"/>
    </row>
    <row r="85" spans="1:7" x14ac:dyDescent="0.25">
      <c r="A85" s="15" t="s">
        <v>128</v>
      </c>
      <c r="B85" s="13" t="s">
        <v>129</v>
      </c>
      <c r="C85" s="13"/>
      <c r="D85" s="13"/>
      <c r="E85" s="42">
        <f>+E86</f>
        <v>-48276.25</v>
      </c>
      <c r="F85" s="41"/>
      <c r="G85" s="30"/>
    </row>
    <row r="86" spans="1:7" x14ac:dyDescent="0.25">
      <c r="A86" s="16" t="s">
        <v>130</v>
      </c>
      <c r="B86" s="26" t="s">
        <v>131</v>
      </c>
      <c r="C86" s="26"/>
      <c r="D86" s="26"/>
      <c r="E86" s="40">
        <f>-36515.37+'[1]Estado resultado mes MARZO'!E74</f>
        <v>-48276.25</v>
      </c>
      <c r="F86" s="41"/>
      <c r="G86" s="30"/>
    </row>
    <row r="87" spans="1:7" x14ac:dyDescent="0.25">
      <c r="A87" s="15" t="s">
        <v>132</v>
      </c>
      <c r="B87" s="13" t="s">
        <v>133</v>
      </c>
      <c r="C87" s="13"/>
      <c r="D87" s="13"/>
      <c r="E87" s="42">
        <f>SUM(E88:E94)</f>
        <v>-290046</v>
      </c>
      <c r="F87" s="41"/>
      <c r="G87" s="30"/>
    </row>
    <row r="88" spans="1:7" x14ac:dyDescent="0.25">
      <c r="A88" s="16" t="s">
        <v>134</v>
      </c>
      <c r="B88" s="26" t="s">
        <v>135</v>
      </c>
      <c r="C88" s="26"/>
      <c r="D88" s="26"/>
      <c r="E88" s="40">
        <f>+'[1]Estado resultado mes MARZO'!E76</f>
        <v>0</v>
      </c>
      <c r="F88" s="41"/>
      <c r="G88" s="30"/>
    </row>
    <row r="89" spans="1:7" x14ac:dyDescent="0.25">
      <c r="A89" s="16" t="s">
        <v>136</v>
      </c>
      <c r="B89" s="17" t="s">
        <v>137</v>
      </c>
      <c r="C89" s="17"/>
      <c r="D89" s="17"/>
      <c r="E89" s="40">
        <f>+'[1]Estado resultado mes MARZO'!E77</f>
        <v>0</v>
      </c>
      <c r="F89" s="41"/>
      <c r="G89" s="30"/>
    </row>
    <row r="90" spans="1:7" x14ac:dyDescent="0.25">
      <c r="A90" s="16" t="s">
        <v>138</v>
      </c>
      <c r="B90" s="17" t="s">
        <v>139</v>
      </c>
      <c r="C90" s="17"/>
      <c r="D90" s="17"/>
      <c r="E90" s="40">
        <f>+'[1]Estado resultado mes MARZO'!E78</f>
        <v>0</v>
      </c>
      <c r="F90" s="41"/>
      <c r="G90" s="30"/>
    </row>
    <row r="91" spans="1:7" x14ac:dyDescent="0.25">
      <c r="A91" s="16" t="s">
        <v>140</v>
      </c>
      <c r="B91" s="17" t="s">
        <v>141</v>
      </c>
      <c r="C91" s="17"/>
      <c r="D91" s="17"/>
      <c r="E91" s="40">
        <f>+'[1]Estado resultado mes MARZO'!E79</f>
        <v>-196000</v>
      </c>
      <c r="F91" s="41"/>
      <c r="G91" s="30"/>
    </row>
    <row r="92" spans="1:7" x14ac:dyDescent="0.25">
      <c r="A92" s="16" t="s">
        <v>142</v>
      </c>
      <c r="B92" s="17" t="s">
        <v>143</v>
      </c>
      <c r="C92" s="17"/>
      <c r="D92" s="17"/>
      <c r="E92" s="40">
        <f>+'[1]Estado resultado mes MARZO'!E80</f>
        <v>0</v>
      </c>
      <c r="F92" s="41"/>
      <c r="G92" s="30"/>
    </row>
    <row r="93" spans="1:7" x14ac:dyDescent="0.25">
      <c r="A93" s="16" t="s">
        <v>144</v>
      </c>
      <c r="B93" s="17" t="s">
        <v>145</v>
      </c>
      <c r="C93" s="17"/>
      <c r="D93" s="17"/>
      <c r="E93" s="40">
        <f>+'[1]Estado resultado mes MARZO'!E81</f>
        <v>0</v>
      </c>
      <c r="F93" s="41"/>
      <c r="G93" s="30"/>
    </row>
    <row r="94" spans="1:7" x14ac:dyDescent="0.25">
      <c r="A94" s="16" t="s">
        <v>146</v>
      </c>
      <c r="B94" s="17" t="s">
        <v>147</v>
      </c>
      <c r="C94" s="17"/>
      <c r="D94" s="17"/>
      <c r="E94" s="40">
        <f>+'[1]Estado resultado mes MARZO'!E82</f>
        <v>-94046</v>
      </c>
      <c r="F94" s="41"/>
      <c r="G94" s="30"/>
    </row>
    <row r="95" spans="1:7" x14ac:dyDescent="0.25">
      <c r="A95" s="15" t="s">
        <v>148</v>
      </c>
      <c r="B95" s="13" t="s">
        <v>149</v>
      </c>
      <c r="C95" s="13"/>
      <c r="D95" s="13"/>
      <c r="E95" s="42">
        <f>SUM(E96:E97)</f>
        <v>0</v>
      </c>
      <c r="F95" s="41"/>
      <c r="G95" s="30"/>
    </row>
    <row r="96" spans="1:7" x14ac:dyDescent="0.25">
      <c r="A96" s="16" t="s">
        <v>150</v>
      </c>
      <c r="B96" s="17" t="s">
        <v>151</v>
      </c>
      <c r="C96" s="17"/>
      <c r="D96" s="17"/>
      <c r="E96" s="40">
        <f>+'[1]Estado resultado mes MARZO'!E84</f>
        <v>0</v>
      </c>
      <c r="F96" s="41"/>
      <c r="G96" s="30"/>
    </row>
    <row r="97" spans="1:7" x14ac:dyDescent="0.25">
      <c r="A97" s="16" t="s">
        <v>152</v>
      </c>
      <c r="B97" s="17" t="s">
        <v>153</v>
      </c>
      <c r="C97" s="17"/>
      <c r="D97" s="17"/>
      <c r="E97" s="40">
        <f>+'[1]Estado resultado mes MARZO'!E85</f>
        <v>0</v>
      </c>
      <c r="F97" s="41"/>
      <c r="G97" s="30"/>
    </row>
    <row r="98" spans="1:7" x14ac:dyDescent="0.25">
      <c r="A98" s="16"/>
      <c r="B98" s="51"/>
      <c r="C98" s="51"/>
      <c r="D98" s="51"/>
      <c r="E98" s="40"/>
      <c r="F98" s="41"/>
      <c r="G98" s="30"/>
    </row>
    <row r="99" spans="1:7" x14ac:dyDescent="0.25">
      <c r="A99" s="16"/>
      <c r="B99" s="51"/>
      <c r="C99" s="51"/>
      <c r="D99" s="51"/>
      <c r="E99" s="40"/>
      <c r="F99" s="41"/>
      <c r="G99" s="30"/>
    </row>
    <row r="100" spans="1:7" x14ac:dyDescent="0.25">
      <c r="A100" s="16"/>
      <c r="B100" s="51"/>
      <c r="C100" s="51"/>
      <c r="D100" s="51"/>
      <c r="E100" s="40"/>
      <c r="F100" s="41"/>
      <c r="G100" s="30"/>
    </row>
    <row r="101" spans="1:7" x14ac:dyDescent="0.25">
      <c r="A101" s="16"/>
      <c r="B101" s="51"/>
      <c r="C101" s="51"/>
      <c r="D101" s="51"/>
      <c r="E101" s="40"/>
      <c r="F101" s="41"/>
      <c r="G101" s="30"/>
    </row>
    <row r="102" spans="1:7" x14ac:dyDescent="0.25">
      <c r="A102" s="16"/>
      <c r="B102" s="51"/>
      <c r="C102" s="51"/>
      <c r="D102" s="51"/>
      <c r="E102" s="40"/>
      <c r="F102" s="41"/>
      <c r="G102" s="30"/>
    </row>
    <row r="103" spans="1:7" x14ac:dyDescent="0.25">
      <c r="A103" s="16"/>
      <c r="B103" s="51"/>
      <c r="C103" s="51"/>
      <c r="D103" s="51"/>
      <c r="E103" s="40"/>
      <c r="F103" s="41"/>
      <c r="G103" s="30"/>
    </row>
    <row r="104" spans="1:7" x14ac:dyDescent="0.25">
      <c r="A104" s="16"/>
      <c r="B104" s="51"/>
      <c r="C104" s="51"/>
      <c r="D104" s="51"/>
      <c r="E104" s="40"/>
      <c r="F104" s="41"/>
      <c r="G104" s="30"/>
    </row>
    <row r="105" spans="1:7" x14ac:dyDescent="0.25">
      <c r="A105" s="16"/>
      <c r="B105" s="51"/>
      <c r="C105" s="51"/>
      <c r="D105" s="51"/>
      <c r="E105" s="40"/>
      <c r="F105" s="41"/>
      <c r="G105" s="30"/>
    </row>
    <row r="106" spans="1:7" x14ac:dyDescent="0.25">
      <c r="A106" s="15" t="s">
        <v>154</v>
      </c>
      <c r="B106" s="13" t="s">
        <v>155</v>
      </c>
      <c r="C106" s="13"/>
      <c r="D106" s="13"/>
      <c r="E106" s="40">
        <f>+E107+E108</f>
        <v>0</v>
      </c>
      <c r="F106" s="41"/>
      <c r="G106" s="30"/>
    </row>
    <row r="107" spans="1:7" x14ac:dyDescent="0.25">
      <c r="A107" s="16" t="s">
        <v>156</v>
      </c>
      <c r="B107" s="17" t="s">
        <v>157</v>
      </c>
      <c r="C107" s="17"/>
      <c r="D107" s="17"/>
      <c r="E107" s="40">
        <f>+'[1]Estado resultado mes MARZO'!E87</f>
        <v>0</v>
      </c>
      <c r="F107" s="41"/>
      <c r="G107" s="30"/>
    </row>
    <row r="108" spans="1:7" x14ac:dyDescent="0.25">
      <c r="A108" s="15" t="s">
        <v>158</v>
      </c>
      <c r="B108" s="13" t="s">
        <v>159</v>
      </c>
      <c r="C108" s="13"/>
      <c r="D108" s="13"/>
      <c r="E108" s="42">
        <f>SUM(E109:E111)</f>
        <v>0</v>
      </c>
      <c r="F108" s="41"/>
      <c r="G108" s="30"/>
    </row>
    <row r="109" spans="1:7" x14ac:dyDescent="0.25">
      <c r="A109" s="16" t="s">
        <v>160</v>
      </c>
      <c r="B109" s="17" t="s">
        <v>161</v>
      </c>
      <c r="C109" s="17"/>
      <c r="D109" s="17"/>
      <c r="E109" s="40">
        <f>+'[1]Estado resultado mes MARZO'!E89</f>
        <v>0</v>
      </c>
      <c r="F109" s="41"/>
      <c r="G109" s="30"/>
    </row>
    <row r="110" spans="1:7" x14ac:dyDescent="0.25">
      <c r="A110" s="16" t="s">
        <v>162</v>
      </c>
      <c r="B110" s="17" t="s">
        <v>163</v>
      </c>
      <c r="C110" s="17"/>
      <c r="D110" s="17"/>
      <c r="E110" s="40">
        <f>+'[1]Estado resultado mes MARZO'!E90</f>
        <v>0</v>
      </c>
      <c r="F110" s="41"/>
      <c r="G110" s="30"/>
    </row>
    <row r="111" spans="1:7" x14ac:dyDescent="0.25">
      <c r="A111" s="16" t="s">
        <v>164</v>
      </c>
      <c r="B111" s="17" t="s">
        <v>165</v>
      </c>
      <c r="C111" s="17"/>
      <c r="D111" s="17"/>
      <c r="E111" s="40">
        <f>+'[1]Estado resultado mes MARZO'!E91</f>
        <v>0</v>
      </c>
      <c r="F111" s="41"/>
      <c r="G111" s="30"/>
    </row>
    <row r="112" spans="1:7" x14ac:dyDescent="0.25">
      <c r="A112" s="15" t="s">
        <v>166</v>
      </c>
      <c r="B112" s="13" t="s">
        <v>167</v>
      </c>
      <c r="C112" s="13"/>
      <c r="D112" s="13"/>
      <c r="E112" s="42">
        <f>+E113</f>
        <v>-304750</v>
      </c>
      <c r="F112" s="41"/>
      <c r="G112" s="30"/>
    </row>
    <row r="113" spans="1:7" x14ac:dyDescent="0.25">
      <c r="A113" s="16" t="s">
        <v>168</v>
      </c>
      <c r="B113" s="17" t="s">
        <v>169</v>
      </c>
      <c r="C113" s="17"/>
      <c r="D113" s="17"/>
      <c r="E113" s="40">
        <f>+'[1]Estado resultado mes MARZO'!E93</f>
        <v>-304750</v>
      </c>
      <c r="F113" s="41"/>
      <c r="G113" s="30"/>
    </row>
    <row r="114" spans="1:7" x14ac:dyDescent="0.25">
      <c r="A114" s="16"/>
      <c r="B114" s="51"/>
      <c r="C114" s="51"/>
      <c r="D114" s="51"/>
      <c r="E114" s="40"/>
      <c r="F114" s="41"/>
      <c r="G114" s="30"/>
    </row>
    <row r="115" spans="1:7" x14ac:dyDescent="0.25">
      <c r="A115" s="15" t="s">
        <v>170</v>
      </c>
      <c r="B115" s="13" t="s">
        <v>171</v>
      </c>
      <c r="C115" s="13"/>
      <c r="D115" s="13"/>
      <c r="E115" s="42">
        <f>+E116+E119+E122+E127+E130+E133</f>
        <v>-3284122.0199999996</v>
      </c>
      <c r="F115" s="41"/>
      <c r="G115" s="30"/>
    </row>
    <row r="116" spans="1:7" x14ac:dyDescent="0.25">
      <c r="A116" s="15" t="s">
        <v>172</v>
      </c>
      <c r="B116" s="13" t="s">
        <v>173</v>
      </c>
      <c r="C116" s="13"/>
      <c r="D116" s="13"/>
      <c r="E116" s="42">
        <f>SUM(E117:E118)</f>
        <v>-179385</v>
      </c>
      <c r="F116" s="41"/>
      <c r="G116" s="30"/>
    </row>
    <row r="117" spans="1:7" x14ac:dyDescent="0.25">
      <c r="A117" s="16" t="s">
        <v>174</v>
      </c>
      <c r="B117" s="51" t="s">
        <v>175</v>
      </c>
      <c r="C117" s="51"/>
      <c r="D117" s="51"/>
      <c r="E117" s="40">
        <f>-68375+'[1]Estado resultado mes MARZO'!E97</f>
        <v>-179385</v>
      </c>
      <c r="F117" s="41"/>
      <c r="G117" s="30"/>
    </row>
    <row r="118" spans="1:7" x14ac:dyDescent="0.25">
      <c r="A118" s="16" t="s">
        <v>176</v>
      </c>
      <c r="B118" s="17" t="s">
        <v>177</v>
      </c>
      <c r="C118" s="17"/>
      <c r="D118" s="17"/>
      <c r="E118" s="40">
        <f>+'[1]Estado resultado mes MARZO'!E98</f>
        <v>0</v>
      </c>
      <c r="F118" s="41"/>
      <c r="G118" s="30"/>
    </row>
    <row r="119" spans="1:7" x14ac:dyDescent="0.25">
      <c r="A119" s="15" t="s">
        <v>178</v>
      </c>
      <c r="B119" s="13" t="s">
        <v>179</v>
      </c>
      <c r="C119" s="13"/>
      <c r="D119" s="13"/>
      <c r="E119" s="42">
        <f>SUM(E120:E121)</f>
        <v>0</v>
      </c>
      <c r="F119" s="41"/>
      <c r="G119" s="30"/>
    </row>
    <row r="120" spans="1:7" x14ac:dyDescent="0.25">
      <c r="A120" s="16" t="s">
        <v>180</v>
      </c>
      <c r="B120" s="17" t="s">
        <v>181</v>
      </c>
      <c r="C120" s="17"/>
      <c r="D120" s="17"/>
      <c r="E120" s="40">
        <f>+'[1]Estado resultado mes MARZO'!E100</f>
        <v>0</v>
      </c>
      <c r="F120" s="41"/>
      <c r="G120" s="30"/>
    </row>
    <row r="121" spans="1:7" x14ac:dyDescent="0.25">
      <c r="A121" s="16" t="s">
        <v>182</v>
      </c>
      <c r="B121" s="17" t="s">
        <v>183</v>
      </c>
      <c r="C121" s="17"/>
      <c r="D121" s="17"/>
      <c r="E121" s="40">
        <f>+'[1]Estado resultado mes MARZO'!E101</f>
        <v>0</v>
      </c>
      <c r="F121" s="41"/>
      <c r="G121" s="30"/>
    </row>
    <row r="122" spans="1:7" x14ac:dyDescent="0.25">
      <c r="A122" s="15" t="s">
        <v>184</v>
      </c>
      <c r="B122" s="13" t="s">
        <v>185</v>
      </c>
      <c r="C122" s="13"/>
      <c r="D122" s="13"/>
      <c r="E122" s="42">
        <f>SUM(E123:E126)</f>
        <v>-94205.409999999916</v>
      </c>
      <c r="F122" s="41"/>
      <c r="G122" s="30"/>
    </row>
    <row r="123" spans="1:7" x14ac:dyDescent="0.25">
      <c r="A123" s="16" t="s">
        <v>186</v>
      </c>
      <c r="B123" s="17" t="s">
        <v>187</v>
      </c>
      <c r="C123" s="17"/>
      <c r="D123" s="17"/>
      <c r="E123" s="40">
        <f>-896860+'[1]Estado resultado mes MARZO'!E103</f>
        <v>-62711.199999999953</v>
      </c>
      <c r="F123" s="41"/>
      <c r="G123" s="30"/>
    </row>
    <row r="124" spans="1:7" x14ac:dyDescent="0.25">
      <c r="A124" s="16" t="s">
        <v>188</v>
      </c>
      <c r="B124" s="17" t="s">
        <v>189</v>
      </c>
      <c r="C124" s="17"/>
      <c r="D124" s="17"/>
      <c r="E124" s="40">
        <f>-1547564.08+'[1]Estado resultado mes MARZO'!E104</f>
        <v>-24594.209999999963</v>
      </c>
      <c r="F124" s="41"/>
      <c r="G124" s="30"/>
    </row>
    <row r="125" spans="1:7" x14ac:dyDescent="0.25">
      <c r="A125" s="16" t="s">
        <v>190</v>
      </c>
      <c r="B125" s="17" t="s">
        <v>191</v>
      </c>
      <c r="C125" s="17"/>
      <c r="D125" s="17"/>
      <c r="E125" s="40">
        <f>+'[1]Estado resultado mes MARZO'!E105</f>
        <v>0</v>
      </c>
      <c r="F125" s="41"/>
      <c r="G125" s="30"/>
    </row>
    <row r="126" spans="1:7" x14ac:dyDescent="0.25">
      <c r="A126" s="16" t="s">
        <v>192</v>
      </c>
      <c r="B126" s="51" t="s">
        <v>193</v>
      </c>
      <c r="C126" s="51"/>
      <c r="D126" s="51"/>
      <c r="E126" s="40">
        <f>-2914.48+'[1]Estado resultado mes MARZO'!E106</f>
        <v>-6900</v>
      </c>
      <c r="F126" s="41"/>
      <c r="G126" s="30"/>
    </row>
    <row r="127" spans="1:7" x14ac:dyDescent="0.25">
      <c r="A127" s="15" t="s">
        <v>194</v>
      </c>
      <c r="B127" s="13" t="s">
        <v>195</v>
      </c>
      <c r="C127" s="13"/>
      <c r="D127" s="13"/>
      <c r="E127" s="42">
        <f>SUM(E128:E129)</f>
        <v>-8762.2299999999814</v>
      </c>
      <c r="F127" s="41"/>
      <c r="G127" s="30"/>
    </row>
    <row r="128" spans="1:7" x14ac:dyDescent="0.25">
      <c r="A128" s="16" t="s">
        <v>196</v>
      </c>
      <c r="B128" s="17" t="s">
        <v>197</v>
      </c>
      <c r="C128" s="17"/>
      <c r="D128" s="17"/>
      <c r="E128" s="40">
        <f>+'[1]Estado resultado mes MARZO'!E108</f>
        <v>0</v>
      </c>
      <c r="F128" s="41"/>
      <c r="G128" s="30"/>
    </row>
    <row r="129" spans="1:8" x14ac:dyDescent="0.25">
      <c r="A129" s="16" t="s">
        <v>198</v>
      </c>
      <c r="B129" s="51" t="s">
        <v>199</v>
      </c>
      <c r="C129" s="51"/>
      <c r="D129" s="51"/>
      <c r="E129" s="40">
        <f>-220795+'[1]Estado resultado mes MARZO'!E109</f>
        <v>-8762.2299999999814</v>
      </c>
      <c r="F129" s="41"/>
      <c r="G129" s="30"/>
    </row>
    <row r="130" spans="1:8" x14ac:dyDescent="0.25">
      <c r="A130" s="15" t="s">
        <v>200</v>
      </c>
      <c r="B130" s="27" t="s">
        <v>201</v>
      </c>
      <c r="C130" s="27"/>
      <c r="D130" s="27"/>
      <c r="E130" s="42">
        <f>SUM(E131:E132)</f>
        <v>-2527122.7999999998</v>
      </c>
      <c r="F130" s="41"/>
      <c r="G130" s="30"/>
    </row>
    <row r="131" spans="1:8" x14ac:dyDescent="0.25">
      <c r="A131" s="16" t="s">
        <v>202</v>
      </c>
      <c r="B131" s="17" t="s">
        <v>203</v>
      </c>
      <c r="C131" s="17"/>
      <c r="D131" s="17"/>
      <c r="E131" s="40">
        <f>-781036.75+'[1]Estado resultado mes MARZO'!E111</f>
        <v>-2527122.7999999998</v>
      </c>
      <c r="F131" s="41"/>
      <c r="G131" s="30"/>
    </row>
    <row r="132" spans="1:8" x14ac:dyDescent="0.25">
      <c r="A132" s="16" t="s">
        <v>204</v>
      </c>
      <c r="B132" s="17" t="s">
        <v>205</v>
      </c>
      <c r="C132" s="17"/>
      <c r="D132" s="17"/>
      <c r="E132" s="40">
        <f>+'[1]Estado resultado mes MARZO'!E112</f>
        <v>0</v>
      </c>
      <c r="F132" s="41"/>
      <c r="G132" s="30"/>
    </row>
    <row r="133" spans="1:8" x14ac:dyDescent="0.25">
      <c r="A133" s="15" t="s">
        <v>206</v>
      </c>
      <c r="B133" s="13" t="s">
        <v>207</v>
      </c>
      <c r="C133" s="13"/>
      <c r="D133" s="13"/>
      <c r="E133" s="42">
        <f>SUM(E134:E137)</f>
        <v>-474646.57999999996</v>
      </c>
      <c r="F133" s="41"/>
      <c r="G133" s="30"/>
    </row>
    <row r="134" spans="1:8" x14ac:dyDescent="0.25">
      <c r="A134" s="16" t="s">
        <v>208</v>
      </c>
      <c r="B134" s="17" t="s">
        <v>209</v>
      </c>
      <c r="C134" s="17"/>
      <c r="D134" s="17"/>
      <c r="E134" s="40">
        <f>-359392+'[1]Estado resultado mes MARZO'!E114</f>
        <v>-122164.85</v>
      </c>
      <c r="F134" s="41"/>
      <c r="G134" s="30"/>
    </row>
    <row r="135" spans="1:8" x14ac:dyDescent="0.25">
      <c r="A135" s="16" t="s">
        <v>210</v>
      </c>
      <c r="B135" s="17" t="s">
        <v>211</v>
      </c>
      <c r="C135" s="17"/>
      <c r="D135" s="17"/>
      <c r="E135" s="40">
        <f>-235949.93+'[1]Estado resultado mes MARZO'!E115</f>
        <v>-352015.01</v>
      </c>
      <c r="F135" s="41"/>
      <c r="G135" s="30"/>
    </row>
    <row r="136" spans="1:8" x14ac:dyDescent="0.25">
      <c r="A136" s="16" t="s">
        <v>212</v>
      </c>
      <c r="B136" s="17" t="s">
        <v>213</v>
      </c>
      <c r="C136" s="17"/>
      <c r="D136" s="17"/>
      <c r="E136" s="40">
        <f>+'[1]Estado resultado mes MARZO'!E116</f>
        <v>-60</v>
      </c>
      <c r="F136" s="41"/>
      <c r="G136" s="30"/>
    </row>
    <row r="137" spans="1:8" x14ac:dyDescent="0.25">
      <c r="A137" s="16" t="s">
        <v>214</v>
      </c>
      <c r="B137" s="17" t="s">
        <v>215</v>
      </c>
      <c r="C137" s="17"/>
      <c r="D137" s="17"/>
      <c r="E137" s="40">
        <f>-305.04+'[1]Estado resultado mes MARZO'!E117</f>
        <v>-406.72</v>
      </c>
      <c r="F137" s="41"/>
      <c r="G137" s="30"/>
    </row>
    <row r="138" spans="1:8" x14ac:dyDescent="0.25">
      <c r="A138" s="16"/>
      <c r="B138" s="51"/>
      <c r="C138" s="51"/>
      <c r="D138" s="51"/>
      <c r="E138" s="40"/>
      <c r="F138" s="41"/>
      <c r="G138" s="30"/>
    </row>
    <row r="139" spans="1:8" x14ac:dyDescent="0.25">
      <c r="A139" s="15" t="s">
        <v>216</v>
      </c>
      <c r="B139" s="13" t="s">
        <v>217</v>
      </c>
      <c r="C139" s="13"/>
      <c r="D139" s="13"/>
      <c r="E139" s="42">
        <f>+E140</f>
        <v>-2926061.1500000004</v>
      </c>
      <c r="F139" s="41"/>
      <c r="G139" s="30"/>
    </row>
    <row r="140" spans="1:8" x14ac:dyDescent="0.25">
      <c r="A140" s="15" t="s">
        <v>218</v>
      </c>
      <c r="B140" s="27" t="s">
        <v>219</v>
      </c>
      <c r="C140" s="27"/>
      <c r="D140" s="27"/>
      <c r="E140" s="40">
        <f>+E141+E162</f>
        <v>-2926061.1500000004</v>
      </c>
      <c r="F140" s="41"/>
      <c r="G140" s="30"/>
    </row>
    <row r="141" spans="1:8" x14ac:dyDescent="0.25">
      <c r="A141" s="15" t="s">
        <v>220</v>
      </c>
      <c r="B141" s="27" t="s">
        <v>221</v>
      </c>
      <c r="C141" s="27"/>
      <c r="D141" s="27"/>
      <c r="E141" s="42">
        <f>SUM(E142:E161)</f>
        <v>-2439635.1700000004</v>
      </c>
      <c r="F141" s="41"/>
      <c r="G141" s="30"/>
    </row>
    <row r="142" spans="1:8" x14ac:dyDescent="0.25">
      <c r="A142" s="16" t="s">
        <v>222</v>
      </c>
      <c r="B142" s="17" t="s">
        <v>223</v>
      </c>
      <c r="C142" s="17"/>
      <c r="D142" s="17"/>
      <c r="E142" s="40">
        <f>-129290.56+'[1]Estado resultado mes MARZO'!E122</f>
        <v>-193935.84</v>
      </c>
      <c r="F142" s="41"/>
      <c r="G142" s="52"/>
      <c r="H142" s="10"/>
    </row>
    <row r="143" spans="1:8" x14ac:dyDescent="0.25">
      <c r="A143" s="16" t="s">
        <v>224</v>
      </c>
      <c r="B143" s="17" t="s">
        <v>225</v>
      </c>
      <c r="C143" s="17"/>
      <c r="D143" s="17"/>
      <c r="E143" s="40">
        <f>-798291.79+'[1]Estado resultado mes MARZO'!E123</f>
        <v>-1197437.69</v>
      </c>
      <c r="F143" s="41"/>
      <c r="G143" s="52"/>
    </row>
    <row r="144" spans="1:8" ht="15.75" x14ac:dyDescent="0.25">
      <c r="A144" s="16" t="s">
        <v>226</v>
      </c>
      <c r="B144" s="53" t="s">
        <v>227</v>
      </c>
      <c r="C144" s="53"/>
      <c r="D144" s="53"/>
      <c r="E144" s="40">
        <f>-2885.66+'[1]Estado resultado mes MARZO'!E124</f>
        <v>-4366.82</v>
      </c>
      <c r="F144" s="53"/>
      <c r="G144" s="53"/>
      <c r="H144" s="53"/>
    </row>
    <row r="145" spans="1:8" ht="15.75" x14ac:dyDescent="0.25">
      <c r="A145" s="16" t="s">
        <v>228</v>
      </c>
      <c r="B145" s="54" t="s">
        <v>229</v>
      </c>
      <c r="C145" s="54"/>
      <c r="D145" s="54"/>
      <c r="E145" s="40">
        <f>-2291.96+'[1]Estado resultado mes MARZO'!E125</f>
        <v>-3437.95</v>
      </c>
      <c r="F145" s="54"/>
      <c r="G145" s="54"/>
      <c r="H145" s="54"/>
    </row>
    <row r="146" spans="1:8" ht="15.75" x14ac:dyDescent="0.25">
      <c r="A146" s="16"/>
      <c r="B146" s="54"/>
      <c r="C146" s="54"/>
      <c r="D146" s="54"/>
      <c r="E146" s="40"/>
      <c r="F146" s="54"/>
      <c r="G146" s="54"/>
      <c r="H146" s="54"/>
    </row>
    <row r="147" spans="1:8" ht="15.75" x14ac:dyDescent="0.25">
      <c r="A147" s="16"/>
      <c r="B147" s="54"/>
      <c r="C147" s="54"/>
      <c r="D147" s="54"/>
      <c r="E147" s="40"/>
      <c r="F147" s="54"/>
      <c r="G147" s="54"/>
      <c r="H147" s="54"/>
    </row>
    <row r="148" spans="1:8" ht="15.75" x14ac:dyDescent="0.25">
      <c r="A148" s="16"/>
      <c r="B148" s="54"/>
      <c r="C148" s="54"/>
      <c r="D148" s="54"/>
      <c r="E148" s="40"/>
      <c r="F148" s="54"/>
      <c r="G148" s="54"/>
      <c r="H148" s="54"/>
    </row>
    <row r="149" spans="1:8" ht="15.75" x14ac:dyDescent="0.25">
      <c r="A149" s="16"/>
      <c r="B149" s="54"/>
      <c r="C149" s="54"/>
      <c r="D149" s="54"/>
      <c r="E149" s="40"/>
      <c r="F149" s="54"/>
      <c r="G149" s="54"/>
      <c r="H149" s="54"/>
    </row>
    <row r="150" spans="1:8" x14ac:dyDescent="0.25">
      <c r="A150" s="16" t="s">
        <v>230</v>
      </c>
      <c r="B150" s="17" t="s">
        <v>231</v>
      </c>
      <c r="C150" s="17"/>
      <c r="D150" s="17"/>
      <c r="E150" s="40">
        <f>-98957.81+'[1]Estado resultado mes MARZO'!E126</f>
        <v>-186885.29</v>
      </c>
      <c r="F150" s="41"/>
      <c r="G150" s="52"/>
    </row>
    <row r="151" spans="1:8" x14ac:dyDescent="0.25">
      <c r="A151" s="16" t="s">
        <v>232</v>
      </c>
      <c r="B151" s="51" t="s">
        <v>233</v>
      </c>
      <c r="C151" s="51"/>
      <c r="D151" s="51"/>
      <c r="E151" s="40">
        <f>-122.88+'[1]Estado resultado mes MARZO'!E127</f>
        <v>-184.32</v>
      </c>
      <c r="F151" s="41"/>
      <c r="G151" s="52"/>
    </row>
    <row r="152" spans="1:8" x14ac:dyDescent="0.25">
      <c r="A152" s="16" t="s">
        <v>234</v>
      </c>
      <c r="B152" s="51" t="s">
        <v>235</v>
      </c>
      <c r="C152" s="51"/>
      <c r="D152" s="51"/>
      <c r="E152" s="40">
        <f>-1199.58+'[1]Estado resultado mes MARZO'!E128</f>
        <v>-1799.3799999999999</v>
      </c>
      <c r="F152" s="41"/>
      <c r="G152" s="52"/>
    </row>
    <row r="153" spans="1:8" x14ac:dyDescent="0.25">
      <c r="A153" s="55" t="s">
        <v>236</v>
      </c>
      <c r="B153" s="56" t="s">
        <v>237</v>
      </c>
      <c r="C153" s="56"/>
      <c r="D153" s="56"/>
      <c r="E153" s="40">
        <f>-409537.12+'[1]Estado resultado mes MARZO'!E129</f>
        <v>-611626.30000000005</v>
      </c>
      <c r="F153" s="41"/>
      <c r="G153" s="52"/>
    </row>
    <row r="154" spans="1:8" x14ac:dyDescent="0.25">
      <c r="A154" s="55" t="s">
        <v>238</v>
      </c>
      <c r="B154" s="57" t="s">
        <v>239</v>
      </c>
      <c r="C154" s="57"/>
      <c r="D154" s="57"/>
      <c r="E154" s="40">
        <f>-84298.7+'[1]Estado resultado mes MARZO'!E130</f>
        <v>-128266.29</v>
      </c>
      <c r="F154" s="41"/>
      <c r="G154" s="52"/>
    </row>
    <row r="155" spans="1:8" x14ac:dyDescent="0.25">
      <c r="A155" s="55" t="s">
        <v>240</v>
      </c>
      <c r="B155" s="57" t="s">
        <v>241</v>
      </c>
      <c r="C155" s="57"/>
      <c r="D155" s="57"/>
      <c r="E155" s="40">
        <f>-2090.38+'[1]Estado resultado mes MARZO'!E131</f>
        <v>-3135.57</v>
      </c>
      <c r="F155" s="41"/>
      <c r="G155" s="52"/>
    </row>
    <row r="156" spans="1:8" x14ac:dyDescent="0.25">
      <c r="A156" s="55" t="s">
        <v>242</v>
      </c>
      <c r="B156" s="57" t="s">
        <v>243</v>
      </c>
      <c r="C156" s="57"/>
      <c r="D156" s="57"/>
      <c r="E156" s="40">
        <f>-47222.75+'[1]Estado resultado mes MARZO'!E132</f>
        <v>-75243.37</v>
      </c>
      <c r="F156" s="41"/>
      <c r="G156" s="52"/>
    </row>
    <row r="157" spans="1:8" x14ac:dyDescent="0.25">
      <c r="A157" s="55" t="s">
        <v>244</v>
      </c>
      <c r="B157" s="57" t="s">
        <v>245</v>
      </c>
      <c r="C157" s="57"/>
      <c r="D157" s="57"/>
      <c r="E157" s="40">
        <f>-16498.47+'[1]Estado resultado mes MARZO'!E133</f>
        <v>-24747.7</v>
      </c>
      <c r="F157" s="41"/>
      <c r="G157" s="52"/>
    </row>
    <row r="158" spans="1:8" x14ac:dyDescent="0.25">
      <c r="A158" s="55" t="s">
        <v>246</v>
      </c>
      <c r="B158" s="58" t="s">
        <v>247</v>
      </c>
      <c r="C158" s="58"/>
      <c r="D158" s="58"/>
      <c r="E158" s="40">
        <f>-822.1+'[1]Estado resultado mes MARZO'!E134</f>
        <v>-1233.1200000000001</v>
      </c>
      <c r="F158" s="41"/>
      <c r="G158" s="52"/>
    </row>
    <row r="159" spans="1:8" x14ac:dyDescent="0.25">
      <c r="A159" s="55" t="s">
        <v>248</v>
      </c>
      <c r="B159" s="58" t="s">
        <v>249</v>
      </c>
      <c r="C159" s="58"/>
      <c r="D159" s="58"/>
      <c r="E159" s="40">
        <f>-1867.12+'[1]Estado resultado mes MARZO'!E135</f>
        <v>-2943.4399999999996</v>
      </c>
      <c r="F159" s="41"/>
      <c r="G159" s="52"/>
    </row>
    <row r="160" spans="1:8" x14ac:dyDescent="0.25">
      <c r="A160" s="55" t="s">
        <v>250</v>
      </c>
      <c r="B160" s="58" t="s">
        <v>251</v>
      </c>
      <c r="C160" s="58"/>
      <c r="D160" s="58"/>
      <c r="E160" s="40">
        <f>-926.6+'[1]Estado resultado mes MARZO'!E136</f>
        <v>-1389.89</v>
      </c>
      <c r="F160" s="41"/>
      <c r="G160" s="52"/>
    </row>
    <row r="161" spans="1:8" x14ac:dyDescent="0.25">
      <c r="A161" s="55" t="s">
        <v>252</v>
      </c>
      <c r="B161" s="56" t="s">
        <v>253</v>
      </c>
      <c r="C161" s="56"/>
      <c r="D161" s="56"/>
      <c r="E161" s="40">
        <f>-2001.47+'[1]Estado resultado mes MARZO'!E137</f>
        <v>-3002.2</v>
      </c>
      <c r="F161" s="59"/>
      <c r="G161" s="52"/>
    </row>
    <row r="162" spans="1:8" x14ac:dyDescent="0.25">
      <c r="A162" s="60" t="s">
        <v>254</v>
      </c>
      <c r="B162" s="61" t="s">
        <v>255</v>
      </c>
      <c r="C162" s="61"/>
      <c r="D162" s="61"/>
      <c r="E162" s="42">
        <f>SUM(E163:E165)</f>
        <v>-486425.98</v>
      </c>
      <c r="F162" s="59"/>
      <c r="G162" s="52"/>
    </row>
    <row r="163" spans="1:8" x14ac:dyDescent="0.25">
      <c r="A163" s="55" t="s">
        <v>256</v>
      </c>
      <c r="B163" s="57" t="s">
        <v>257</v>
      </c>
      <c r="C163" s="62"/>
      <c r="D163" s="63"/>
      <c r="E163" s="40">
        <f>-324283.99+'[1]Estado resultado mes MARZO'!E139</f>
        <v>-486425.98</v>
      </c>
      <c r="F163" s="59"/>
      <c r="G163" s="52"/>
    </row>
    <row r="164" spans="1:8" x14ac:dyDescent="0.25">
      <c r="A164" s="55" t="s">
        <v>258</v>
      </c>
      <c r="B164" s="57" t="s">
        <v>259</v>
      </c>
      <c r="C164" s="62"/>
      <c r="D164" s="63"/>
      <c r="E164" s="40">
        <f>+'[1]Estado resultado mes MARZO'!E140</f>
        <v>0</v>
      </c>
      <c r="F164" s="59"/>
      <c r="G164" s="52"/>
    </row>
    <row r="165" spans="1:8" x14ac:dyDescent="0.25">
      <c r="A165" s="16" t="s">
        <v>260</v>
      </c>
      <c r="B165" s="51" t="s">
        <v>261</v>
      </c>
      <c r="C165" s="62"/>
      <c r="D165" s="63"/>
      <c r="E165" s="40">
        <f>+'[1]Estado resultado mes MARZO'!E141</f>
        <v>0</v>
      </c>
      <c r="F165" s="59"/>
      <c r="G165" s="52"/>
    </row>
    <row r="166" spans="1:8" x14ac:dyDescent="0.25">
      <c r="A166" s="16"/>
      <c r="B166" s="51"/>
      <c r="C166" s="62"/>
      <c r="D166" s="63"/>
      <c r="E166" s="64"/>
      <c r="F166" s="59"/>
      <c r="G166" s="52"/>
    </row>
    <row r="167" spans="1:8" x14ac:dyDescent="0.25">
      <c r="A167" s="15" t="s">
        <v>262</v>
      </c>
      <c r="B167" s="13" t="s">
        <v>263</v>
      </c>
      <c r="C167" s="13"/>
      <c r="D167" s="13"/>
      <c r="E167" s="42">
        <f>+E168</f>
        <v>0</v>
      </c>
      <c r="F167" s="59"/>
      <c r="G167" s="52"/>
    </row>
    <row r="168" spans="1:8" x14ac:dyDescent="0.25">
      <c r="A168" s="15" t="s">
        <v>264</v>
      </c>
      <c r="B168" s="27" t="s">
        <v>265</v>
      </c>
      <c r="C168" s="27"/>
      <c r="D168" s="27"/>
      <c r="E168" s="40">
        <f>SUM(E169:E172)</f>
        <v>0</v>
      </c>
      <c r="F168" s="42"/>
      <c r="G168" s="52"/>
    </row>
    <row r="169" spans="1:8" x14ac:dyDescent="0.25">
      <c r="A169" s="16" t="s">
        <v>266</v>
      </c>
      <c r="B169" s="17" t="s">
        <v>267</v>
      </c>
      <c r="C169" s="17"/>
      <c r="D169" s="17"/>
      <c r="E169" s="40">
        <f>+'[1]Estado resultado mes MARZO'!E145</f>
        <v>0</v>
      </c>
      <c r="F169" s="59"/>
      <c r="G169" s="52"/>
    </row>
    <row r="170" spans="1:8" x14ac:dyDescent="0.25">
      <c r="A170" s="16" t="s">
        <v>268</v>
      </c>
      <c r="B170" s="17" t="s">
        <v>269</v>
      </c>
      <c r="C170" s="17"/>
      <c r="D170" s="17"/>
      <c r="E170" s="40">
        <f>+'[1]Estado resultado mes MARZO'!E146</f>
        <v>0</v>
      </c>
      <c r="F170" s="42"/>
      <c r="G170" s="52"/>
    </row>
    <row r="171" spans="1:8" x14ac:dyDescent="0.25">
      <c r="A171" s="16" t="s">
        <v>270</v>
      </c>
      <c r="B171" s="51" t="s">
        <v>271</v>
      </c>
      <c r="C171" s="62"/>
      <c r="D171" s="63"/>
      <c r="E171" s="40">
        <f>+'[1]Estado resultado mes MARZO'!E147</f>
        <v>0</v>
      </c>
      <c r="F171" s="59"/>
      <c r="G171" s="52"/>
    </row>
    <row r="172" spans="1:8" x14ac:dyDescent="0.25">
      <c r="A172" s="16" t="s">
        <v>272</v>
      </c>
      <c r="B172" s="65" t="s">
        <v>273</v>
      </c>
      <c r="C172" s="62"/>
      <c r="D172" s="63"/>
      <c r="E172" s="40">
        <f>+'[1]Estado resultado mes MARZO'!E148</f>
        <v>0</v>
      </c>
      <c r="F172" s="59"/>
      <c r="G172" s="52"/>
      <c r="H172" s="66"/>
    </row>
    <row r="173" spans="1:8" x14ac:dyDescent="0.25">
      <c r="A173" s="16"/>
      <c r="B173" s="65"/>
      <c r="C173" s="62"/>
      <c r="D173" s="63"/>
      <c r="E173" s="40"/>
      <c r="F173" s="59"/>
      <c r="G173" s="52"/>
      <c r="H173" s="66"/>
    </row>
    <row r="174" spans="1:8" x14ac:dyDescent="0.25">
      <c r="A174" s="15" t="s">
        <v>274</v>
      </c>
      <c r="B174" s="47" t="s">
        <v>275</v>
      </c>
      <c r="C174" s="62"/>
      <c r="D174" s="67"/>
      <c r="E174" s="42">
        <f>+E175</f>
        <v>-4</v>
      </c>
      <c r="F174" s="59"/>
      <c r="G174" s="52"/>
      <c r="H174" s="66"/>
    </row>
    <row r="175" spans="1:8" x14ac:dyDescent="0.25">
      <c r="A175" s="16" t="s">
        <v>276</v>
      </c>
      <c r="B175" s="51" t="s">
        <v>277</v>
      </c>
      <c r="C175" s="62"/>
      <c r="D175" s="63"/>
      <c r="E175" s="40">
        <f>-4+'[1]Estado resultado mes MARZO'!E151</f>
        <v>-4</v>
      </c>
      <c r="F175" s="59"/>
      <c r="G175" s="52"/>
    </row>
    <row r="176" spans="1:8" x14ac:dyDescent="0.25">
      <c r="A176" s="16"/>
      <c r="B176" s="51"/>
      <c r="C176" s="62"/>
      <c r="D176" s="63"/>
      <c r="E176" s="40"/>
      <c r="F176" s="59"/>
      <c r="G176" s="52"/>
    </row>
    <row r="177" spans="1:8" x14ac:dyDescent="0.25">
      <c r="A177" s="15">
        <v>5.2</v>
      </c>
      <c r="B177" s="13" t="s">
        <v>7</v>
      </c>
      <c r="C177" s="13"/>
      <c r="D177" s="13"/>
      <c r="E177" s="40"/>
      <c r="F177" s="59"/>
      <c r="G177" s="52"/>
    </row>
    <row r="178" spans="1:8" x14ac:dyDescent="0.25">
      <c r="A178" s="15" t="s">
        <v>278</v>
      </c>
      <c r="B178" s="13" t="s">
        <v>9</v>
      </c>
      <c r="C178" s="13"/>
      <c r="D178" s="13"/>
      <c r="E178" s="40">
        <f>+E179</f>
        <v>-20000</v>
      </c>
      <c r="F178" s="59"/>
      <c r="G178" s="52"/>
    </row>
    <row r="179" spans="1:8" x14ac:dyDescent="0.25">
      <c r="A179" s="16" t="s">
        <v>279</v>
      </c>
      <c r="B179" s="26" t="s">
        <v>280</v>
      </c>
      <c r="C179" s="26"/>
      <c r="D179" s="26"/>
      <c r="E179" s="40">
        <f>+'[1]Estado resultado mes MARZO'!E155</f>
        <v>-20000</v>
      </c>
      <c r="F179" s="59"/>
      <c r="G179" s="52"/>
    </row>
    <row r="180" spans="1:8" x14ac:dyDescent="0.25">
      <c r="A180" s="16"/>
      <c r="B180" s="51"/>
      <c r="C180" s="62"/>
      <c r="D180" s="63"/>
      <c r="E180" s="40"/>
      <c r="F180" s="59"/>
      <c r="G180" s="52"/>
    </row>
    <row r="181" spans="1:8" ht="16.5" x14ac:dyDescent="0.35">
      <c r="A181" s="16">
        <v>5.4</v>
      </c>
      <c r="B181" s="11" t="s">
        <v>281</v>
      </c>
      <c r="C181" s="11"/>
      <c r="D181" s="68"/>
      <c r="E181" s="69">
        <f>E182</f>
        <v>-4130.6000000000004</v>
      </c>
      <c r="F181" s="70"/>
    </row>
    <row r="182" spans="1:8" ht="16.5" x14ac:dyDescent="0.35">
      <c r="A182" s="15" t="s">
        <v>282</v>
      </c>
      <c r="B182" s="71" t="s">
        <v>283</v>
      </c>
      <c r="C182" s="71"/>
      <c r="D182" s="71"/>
      <c r="E182" s="69">
        <f>E183</f>
        <v>-4130.6000000000004</v>
      </c>
      <c r="F182" s="70"/>
      <c r="G182" s="10"/>
    </row>
    <row r="183" spans="1:8" ht="16.5" x14ac:dyDescent="0.35">
      <c r="A183" s="16" t="s">
        <v>284</v>
      </c>
      <c r="B183" s="53" t="s">
        <v>285</v>
      </c>
      <c r="C183" s="53"/>
      <c r="D183" s="53"/>
      <c r="E183" s="72">
        <f>-1810.07+'[1]Estado resultado mes MARZO'!E159</f>
        <v>-4130.6000000000004</v>
      </c>
      <c r="F183" s="70"/>
      <c r="G183" s="10"/>
    </row>
    <row r="184" spans="1:8" ht="16.5" x14ac:dyDescent="0.35">
      <c r="A184" s="22"/>
      <c r="B184" s="22"/>
      <c r="C184" s="73"/>
      <c r="D184" s="68"/>
      <c r="E184" s="72"/>
      <c r="F184" s="70"/>
      <c r="G184" s="10"/>
    </row>
    <row r="185" spans="1:8" ht="17.25" thickBot="1" x14ac:dyDescent="0.4">
      <c r="A185" s="22"/>
      <c r="B185" s="5" t="s">
        <v>286</v>
      </c>
      <c r="C185" s="73"/>
      <c r="D185" s="68"/>
      <c r="E185" s="72"/>
      <c r="F185" s="74">
        <f>+F10+F24</f>
        <v>14499382.450000003</v>
      </c>
      <c r="G185" s="10" t="s">
        <v>287</v>
      </c>
      <c r="H185" s="10"/>
    </row>
    <row r="186" spans="1:8" ht="17.25" thickTop="1" x14ac:dyDescent="0.35">
      <c r="A186" s="22"/>
      <c r="B186" s="5"/>
      <c r="C186" s="73"/>
      <c r="D186" s="68"/>
      <c r="E186" s="72"/>
      <c r="F186" s="70"/>
      <c r="G186" s="10"/>
      <c r="H186" s="10"/>
    </row>
    <row r="187" spans="1:8" ht="16.5" x14ac:dyDescent="0.35">
      <c r="A187" s="22"/>
      <c r="B187" s="5"/>
      <c r="C187" s="73"/>
      <c r="D187" s="68"/>
      <c r="E187" s="72"/>
      <c r="F187" s="70"/>
      <c r="G187" s="10"/>
      <c r="H187" s="10">
        <f>+F187-'[3]Estado resultado mes enero'!$F$152</f>
        <v>0</v>
      </c>
    </row>
  </sheetData>
  <mergeCells count="132">
    <mergeCell ref="B177:D177"/>
    <mergeCell ref="B178:D178"/>
    <mergeCell ref="B179:D179"/>
    <mergeCell ref="B181:C181"/>
    <mergeCell ref="B182:D182"/>
    <mergeCell ref="B183:D183"/>
    <mergeCell ref="B161:D161"/>
    <mergeCell ref="B162:D162"/>
    <mergeCell ref="B167:D167"/>
    <mergeCell ref="B168:D168"/>
    <mergeCell ref="B169:D169"/>
    <mergeCell ref="B170:D170"/>
    <mergeCell ref="F144:H144"/>
    <mergeCell ref="B150:D150"/>
    <mergeCell ref="B153:D153"/>
    <mergeCell ref="B158:D158"/>
    <mergeCell ref="B159:D159"/>
    <mergeCell ref="B160:D160"/>
    <mergeCell ref="B139:D139"/>
    <mergeCell ref="B140:D140"/>
    <mergeCell ref="B141:D141"/>
    <mergeCell ref="B142:D142"/>
    <mergeCell ref="B143:D143"/>
    <mergeCell ref="B144:D144"/>
    <mergeCell ref="B132:D132"/>
    <mergeCell ref="B133:D133"/>
    <mergeCell ref="B134:D134"/>
    <mergeCell ref="B135:D135"/>
    <mergeCell ref="B136:D136"/>
    <mergeCell ref="B137:D137"/>
    <mergeCell ref="B124:D124"/>
    <mergeCell ref="B125:D125"/>
    <mergeCell ref="B127:D127"/>
    <mergeCell ref="B128:D128"/>
    <mergeCell ref="B130:D130"/>
    <mergeCell ref="B131:D131"/>
    <mergeCell ref="B118:D118"/>
    <mergeCell ref="B119:D119"/>
    <mergeCell ref="B120:D120"/>
    <mergeCell ref="B121:D121"/>
    <mergeCell ref="B122:D122"/>
    <mergeCell ref="B123:D123"/>
    <mergeCell ref="B110:D110"/>
    <mergeCell ref="B111:D111"/>
    <mergeCell ref="B112:D112"/>
    <mergeCell ref="B113:D113"/>
    <mergeCell ref="B115:D115"/>
    <mergeCell ref="B116:D116"/>
    <mergeCell ref="B96:D96"/>
    <mergeCell ref="B97:D97"/>
    <mergeCell ref="B106:D106"/>
    <mergeCell ref="B107:D107"/>
    <mergeCell ref="B108:D108"/>
    <mergeCell ref="B109:D109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5:D65"/>
    <mergeCell ref="B66:D66"/>
    <mergeCell ref="B67:D67"/>
    <mergeCell ref="B68:D68"/>
    <mergeCell ref="B69:D69"/>
    <mergeCell ref="B71:D71"/>
    <mergeCell ref="B59:D59"/>
    <mergeCell ref="B60:D60"/>
    <mergeCell ref="B61:D61"/>
    <mergeCell ref="B62:D62"/>
    <mergeCell ref="B63:D63"/>
    <mergeCell ref="B64:D6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8:D18"/>
    <mergeCell ref="B19:D19"/>
    <mergeCell ref="B20:D20"/>
    <mergeCell ref="B21:D21"/>
    <mergeCell ref="B22:D22"/>
    <mergeCell ref="B24:D24"/>
    <mergeCell ref="B12:D12"/>
    <mergeCell ref="B13:D13"/>
    <mergeCell ref="B14:D14"/>
    <mergeCell ref="B15:D15"/>
    <mergeCell ref="B16:D16"/>
    <mergeCell ref="B17:D17"/>
    <mergeCell ref="B3:F3"/>
    <mergeCell ref="B4:F4"/>
    <mergeCell ref="B5:F5"/>
    <mergeCell ref="B6:F6"/>
    <mergeCell ref="B10:D10"/>
    <mergeCell ref="B11:D1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Suanny Colon</cp:lastModifiedBy>
  <dcterms:created xsi:type="dcterms:W3CDTF">2024-06-21T15:22:40Z</dcterms:created>
  <dcterms:modified xsi:type="dcterms:W3CDTF">2024-06-21T15:30:47Z</dcterms:modified>
</cp:coreProperties>
</file>